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26" yWindow="68" windowWidth="15487" windowHeight="11642" tabRatio="714" activeTab="2"/>
  </bookViews>
  <sheets>
    <sheet name="Means Data" sheetId="5" r:id="rId1"/>
    <sheet name="Variances Data" sheetId="7" r:id="rId2"/>
    <sheet name="Deviance Comparisons" sheetId="9" r:id="rId3"/>
    <sheet name="Random Effects CIs" sheetId="1" r:id="rId4"/>
  </sheets>
  <calcPr calcId="125725"/>
</workbook>
</file>

<file path=xl/calcChain.xml><?xml version="1.0" encoding="utf-8"?>
<calcChain xmlns="http://schemas.openxmlformats.org/spreadsheetml/2006/main">
  <c r="E22" i="1"/>
  <c r="F22" s="1"/>
  <c r="E21"/>
  <c r="G21" s="1"/>
  <c r="G47" i="9"/>
  <c r="F47"/>
  <c r="G43"/>
  <c r="F43"/>
  <c r="L22" i="5"/>
  <c r="M22"/>
  <c r="N22"/>
  <c r="O22"/>
  <c r="P22"/>
  <c r="K22"/>
  <c r="P19"/>
  <c r="O19"/>
  <c r="N19"/>
  <c r="M19"/>
  <c r="L19"/>
  <c r="K19"/>
  <c r="L1"/>
  <c r="L6" s="1"/>
  <c r="M1"/>
  <c r="M6" s="1"/>
  <c r="N1"/>
  <c r="N6" s="1"/>
  <c r="O1"/>
  <c r="O6" s="1"/>
  <c r="P1"/>
  <c r="P6" s="1"/>
  <c r="K1"/>
  <c r="K6" s="1"/>
  <c r="F21" i="1" l="1"/>
  <c r="G22"/>
  <c r="H43" i="9"/>
  <c r="H47"/>
  <c r="G19"/>
  <c r="F19"/>
  <c r="G15"/>
  <c r="F15"/>
  <c r="G36"/>
  <c r="F36"/>
  <c r="G32"/>
  <c r="F32"/>
  <c r="G28"/>
  <c r="F28"/>
  <c r="H28" s="1"/>
  <c r="G24"/>
  <c r="F24"/>
  <c r="G11"/>
  <c r="F11"/>
  <c r="H11" s="1"/>
  <c r="E15" i="1"/>
  <c r="F15"/>
  <c r="E14"/>
  <c r="G14"/>
  <c r="E13"/>
  <c r="F13"/>
  <c r="G7" i="9"/>
  <c r="F7"/>
  <c r="L67" i="7"/>
  <c r="L69"/>
  <c r="K67"/>
  <c r="J67"/>
  <c r="I67"/>
  <c r="H67"/>
  <c r="G67"/>
  <c r="F67"/>
  <c r="E67"/>
  <c r="D67"/>
  <c r="C67"/>
  <c r="K66"/>
  <c r="K69"/>
  <c r="J66"/>
  <c r="I66"/>
  <c r="H66"/>
  <c r="G66"/>
  <c r="F66"/>
  <c r="E66"/>
  <c r="D66"/>
  <c r="C66"/>
  <c r="J65"/>
  <c r="J69"/>
  <c r="I65"/>
  <c r="H65"/>
  <c r="G65"/>
  <c r="F65"/>
  <c r="E65"/>
  <c r="D65"/>
  <c r="C65"/>
  <c r="I64"/>
  <c r="I69"/>
  <c r="H64"/>
  <c r="G64"/>
  <c r="F64"/>
  <c r="E64"/>
  <c r="D64"/>
  <c r="C64"/>
  <c r="H63"/>
  <c r="H69"/>
  <c r="G63"/>
  <c r="F63"/>
  <c r="E63"/>
  <c r="D63"/>
  <c r="C63"/>
  <c r="G62"/>
  <c r="G69"/>
  <c r="F62"/>
  <c r="E62"/>
  <c r="D62"/>
  <c r="C62"/>
  <c r="F61"/>
  <c r="F69"/>
  <c r="E61"/>
  <c r="D61"/>
  <c r="C61"/>
  <c r="E60"/>
  <c r="E69"/>
  <c r="D60"/>
  <c r="C60"/>
  <c r="D59"/>
  <c r="D69"/>
  <c r="C59"/>
  <c r="C58"/>
  <c r="C69"/>
  <c r="L48"/>
  <c r="L50"/>
  <c r="K48"/>
  <c r="J48"/>
  <c r="I48"/>
  <c r="H48"/>
  <c r="G48"/>
  <c r="F48"/>
  <c r="E48"/>
  <c r="D48"/>
  <c r="C48"/>
  <c r="K47"/>
  <c r="K50"/>
  <c r="J47"/>
  <c r="I47"/>
  <c r="H47"/>
  <c r="G47"/>
  <c r="F47"/>
  <c r="E47"/>
  <c r="D47"/>
  <c r="C47"/>
  <c r="J46"/>
  <c r="J50"/>
  <c r="I46"/>
  <c r="H46"/>
  <c r="G46"/>
  <c r="F46"/>
  <c r="E46"/>
  <c r="D46"/>
  <c r="C46"/>
  <c r="I45"/>
  <c r="I50"/>
  <c r="H45"/>
  <c r="G45"/>
  <c r="F45"/>
  <c r="E45"/>
  <c r="D45"/>
  <c r="C45"/>
  <c r="H44"/>
  <c r="H50"/>
  <c r="G44"/>
  <c r="F44"/>
  <c r="E44"/>
  <c r="D44"/>
  <c r="C44"/>
  <c r="G43"/>
  <c r="G50"/>
  <c r="F43"/>
  <c r="E43"/>
  <c r="D43"/>
  <c r="C43"/>
  <c r="F42"/>
  <c r="F50"/>
  <c r="E42"/>
  <c r="D42"/>
  <c r="C42"/>
  <c r="E41"/>
  <c r="E50"/>
  <c r="D41"/>
  <c r="C41"/>
  <c r="D40"/>
  <c r="D50"/>
  <c r="C40"/>
  <c r="C39"/>
  <c r="C50"/>
  <c r="H31"/>
  <c r="G31"/>
  <c r="F31"/>
  <c r="E31"/>
  <c r="D31"/>
  <c r="C31"/>
  <c r="G30"/>
  <c r="F30"/>
  <c r="E30"/>
  <c r="D30"/>
  <c r="C30"/>
  <c r="F29"/>
  <c r="E29"/>
  <c r="D29"/>
  <c r="C29"/>
  <c r="E28"/>
  <c r="D28"/>
  <c r="C28"/>
  <c r="D27"/>
  <c r="C27"/>
  <c r="C26"/>
  <c r="H18"/>
  <c r="G18"/>
  <c r="F18"/>
  <c r="E18"/>
  <c r="D18"/>
  <c r="C18"/>
  <c r="G17"/>
  <c r="F17"/>
  <c r="E17"/>
  <c r="D17"/>
  <c r="C17"/>
  <c r="F16"/>
  <c r="E16"/>
  <c r="D16"/>
  <c r="C16"/>
  <c r="E15"/>
  <c r="D15"/>
  <c r="C15"/>
  <c r="D14"/>
  <c r="C14"/>
  <c r="C13"/>
  <c r="P17" i="5"/>
  <c r="O17"/>
  <c r="N17"/>
  <c r="M17"/>
  <c r="L17"/>
  <c r="K17"/>
  <c r="P16"/>
  <c r="O16"/>
  <c r="N16"/>
  <c r="M16"/>
  <c r="L16"/>
  <c r="K16"/>
  <c r="P5"/>
  <c r="O5"/>
  <c r="N5"/>
  <c r="M5"/>
  <c r="L5"/>
  <c r="E19" i="1"/>
  <c r="F19"/>
  <c r="E18"/>
  <c r="G18"/>
  <c r="E17"/>
  <c r="F17"/>
  <c r="E11"/>
  <c r="F11"/>
  <c r="E10"/>
  <c r="F10"/>
  <c r="E9"/>
  <c r="F9"/>
  <c r="E6"/>
  <c r="F6"/>
  <c r="G6"/>
  <c r="E7"/>
  <c r="F7"/>
  <c r="F5"/>
  <c r="E5"/>
  <c r="G5"/>
  <c r="F18"/>
  <c r="G7"/>
  <c r="G17"/>
  <c r="G19"/>
  <c r="G9"/>
  <c r="G11"/>
  <c r="G10"/>
  <c r="G13"/>
  <c r="F14"/>
  <c r="G15"/>
  <c r="H7" i="9" l="1"/>
  <c r="H36"/>
  <c r="H32"/>
  <c r="H19"/>
  <c r="H24"/>
  <c r="H15"/>
  <c r="K5" i="5"/>
</calcChain>
</file>

<file path=xl/comments1.xml><?xml version="1.0" encoding="utf-8"?>
<comments xmlns="http://schemas.openxmlformats.org/spreadsheetml/2006/main">
  <authors>
    <author>Lesa Hoffman</author>
  </authors>
  <commentList>
    <comment ref="E2" authorId="0">
      <text>
        <r>
          <rPr>
            <b/>
            <sz val="9"/>
            <color indexed="81"/>
            <rFont val="Tahoma"/>
            <charset val="1"/>
          </rPr>
          <t>Lesa Hoffman:</t>
        </r>
        <r>
          <rPr>
            <sz val="9"/>
            <color indexed="81"/>
            <rFont val="Tahoma"/>
            <charset val="1"/>
          </rPr>
          <t xml:space="preserve">
I am including all parameters in this count.</t>
        </r>
      </text>
    </comment>
  </commentList>
</comments>
</file>

<file path=xl/sharedStrings.xml><?xml version="1.0" encoding="utf-8"?>
<sst xmlns="http://schemas.openxmlformats.org/spreadsheetml/2006/main" count="135" uniqueCount="89">
  <si>
    <t>Model</t>
  </si>
  <si>
    <t>Term</t>
  </si>
  <si>
    <t>Random Variance</t>
  </si>
  <si>
    <t>Fixed Effect</t>
  </si>
  <si>
    <t>1.96*SD</t>
  </si>
  <si>
    <t>Intercept</t>
  </si>
  <si>
    <t>Lower CI</t>
  </si>
  <si>
    <t>Upper CI</t>
  </si>
  <si>
    <t>Linear</t>
  </si>
  <si>
    <t>Polynomial (S=1)</t>
  </si>
  <si>
    <t>Quadratic</t>
  </si>
  <si>
    <t>Polynomial (S=6)</t>
  </si>
  <si>
    <t>AIC</t>
  </si>
  <si>
    <t>BIC</t>
  </si>
  <si>
    <t>Int</t>
  </si>
  <si>
    <t>Session</t>
  </si>
  <si>
    <t>Type</t>
  </si>
  <si>
    <t>1b</t>
  </si>
  <si>
    <t>2b</t>
  </si>
  <si>
    <t>3b</t>
  </si>
  <si>
    <t>Predicted V Matrix from Random Linear Model:</t>
  </si>
  <si>
    <t>Res</t>
  </si>
  <si>
    <t>Var Int</t>
  </si>
  <si>
    <t>Var Lin</t>
  </si>
  <si>
    <t>Cov IL</t>
  </si>
  <si>
    <t>Predicted V Matrix from Random Quadratic Model:</t>
  </si>
  <si>
    <t>Var Quad</t>
  </si>
  <si>
    <t>Cov IQ</t>
  </si>
  <si>
    <t>Cov LQ</t>
  </si>
  <si>
    <t>Predicted V Matrix from Random Linear Model for 10 occasions:</t>
  </si>
  <si>
    <t>Var</t>
  </si>
  <si>
    <t>Predicted V Matrix from Random Quadratic Model for 10 occasions:</t>
  </si>
  <si>
    <t>Note: It is your job to keep track of whether deviance should go up or down! 
These formulas work with ABSOLUTE VALUES.</t>
  </si>
  <si>
    <t>Model 
Deviance</t>
  </si>
  <si>
    <t>Model 
DF</t>
  </si>
  <si>
    <t>Abs Value Deviance Diff</t>
  </si>
  <si>
    <t>DF 
Diff</t>
  </si>
  <si>
    <t>*NOTE: Only fit statistics from models with the same model for the means can be compared under REML.</t>
  </si>
  <si>
    <t>2a: Fixed Linear, Rand Int</t>
  </si>
  <si>
    <t>2b: Rand Linear</t>
  </si>
  <si>
    <t>3a: Fixed Quad, Rand Linear</t>
  </si>
  <si>
    <t>3b: Rand Quad</t>
  </si>
  <si>
    <t>Slope12</t>
  </si>
  <si>
    <t>Slope26</t>
  </si>
  <si>
    <t>Two Piecewise Slopes</t>
  </si>
  <si>
    <t>Slope + Deviation Slope</t>
  </si>
  <si>
    <t>Slope16</t>
  </si>
  <si>
    <t>POLYNOMIAL MODELS</t>
  </si>
  <si>
    <t>PIECEWISE MODELS</t>
  </si>
  <si>
    <t>Predicted Variances by Session by Polynomial Model (from V matrix)</t>
  </si>
  <si>
    <t>Exact p 
Value</t>
  </si>
  <si>
    <t>2a vs 2b</t>
  </si>
  <si>
    <t>3a vs 2b</t>
  </si>
  <si>
    <t>Slppe12</t>
  </si>
  <si>
    <t>Unstructured</t>
  </si>
  <si>
    <t>Random Intercept</t>
  </si>
  <si>
    <t>Random Linear</t>
  </si>
  <si>
    <t>Random Quadratic</t>
  </si>
  <si>
    <t>3b: Rand Quad, VC R</t>
  </si>
  <si>
    <t>Rand Quad, AR1 R</t>
  </si>
  <si>
    <t>Does AR1 help?</t>
  </si>
  <si>
    <t>Rand Quad, TOEP2 R</t>
  </si>
  <si>
    <t>Does TOEP2 help?</t>
  </si>
  <si>
    <t xml:space="preserve">Saturated Means </t>
  </si>
  <si>
    <t>Time if session 1 = 0</t>
  </si>
  <si>
    <t>4a: Fixed First, Fixed Second</t>
  </si>
  <si>
    <t>4b: Random First, Fixed Second</t>
  </si>
  <si>
    <t>4c: Random First, Random Second</t>
  </si>
  <si>
    <t>4a vs 4b</t>
  </si>
  <si>
    <t>4b vs 4c</t>
  </si>
  <si>
    <t>5a: Fixed Slope, Fixed Deviation Slope</t>
  </si>
  <si>
    <t>5b: Random Slope, Fixed Deviation Slope</t>
  </si>
  <si>
    <t>5a vs 5b</t>
  </si>
  <si>
    <t>5c: Random Slope, Random Deviation Slope</t>
  </si>
  <si>
    <t>5b vs 5c</t>
  </si>
  <si>
    <t>Two Slopes Piecewise</t>
  </si>
  <si>
    <t>FIXED PIECEWISE MODELS</t>
  </si>
  <si>
    <t>EXPONENTIAL MODELS</t>
  </si>
  <si>
    <t>Asymptote</t>
  </si>
  <si>
    <t>Amount</t>
  </si>
  <si>
    <t>Rate</t>
  </si>
  <si>
    <t>Exponential</t>
  </si>
  <si>
    <t>6a: Fixed Asymptote, Amount, Rate</t>
  </si>
  <si>
    <t>6b: +Random Asymptote</t>
  </si>
  <si>
    <t>6a vs 6b</t>
  </si>
  <si>
    <t>6c: +Random Amount</t>
  </si>
  <si>
    <t>6b vs 6c</t>
  </si>
  <si>
    <t>95% Random Effects Confidence Interval Calculator -- USE REML ESTIMATES WHEN POSSIBLE</t>
  </si>
  <si>
    <t>Random Asymptote, Amount, Fixed Rate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</si>
</sst>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"/>
    <numFmt numFmtId="166" formatCode="0.0000"/>
  </numFmts>
  <fonts count="12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10"/>
      <name val="Arial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8" fillId="0" borderId="0"/>
    <xf numFmtId="0" fontId="6" fillId="0" borderId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2" fontId="0" fillId="0" borderId="0" xfId="0" applyNumberFormat="1"/>
    <xf numFmtId="0" fontId="3" fillId="0" borderId="0" xfId="1" applyFont="1" applyAlignment="1">
      <alignment horizontal="left"/>
    </xf>
    <xf numFmtId="0" fontId="4" fillId="0" borderId="0" xfId="1" applyFont="1" applyAlignment="1">
      <alignment horizontal="center"/>
    </xf>
    <xf numFmtId="0" fontId="4" fillId="0" borderId="0" xfId="1" applyFont="1"/>
    <xf numFmtId="0" fontId="4" fillId="0" borderId="0" xfId="1" applyFont="1" applyAlignment="1">
      <alignment horizontal="left"/>
    </xf>
    <xf numFmtId="0" fontId="4" fillId="0" borderId="1" xfId="1" applyFont="1" applyBorder="1" applyAlignment="1">
      <alignment horizontal="center"/>
    </xf>
    <xf numFmtId="0" fontId="3" fillId="0" borderId="1" xfId="1" applyFont="1" applyBorder="1" applyAlignment="1">
      <alignment horizontal="left"/>
    </xf>
    <xf numFmtId="0" fontId="3" fillId="0" borderId="1" xfId="1" applyFont="1" applyBorder="1" applyAlignment="1">
      <alignment horizontal="center"/>
    </xf>
    <xf numFmtId="1" fontId="4" fillId="0" borderId="0" xfId="1" applyNumberFormat="1" applyFont="1" applyAlignment="1">
      <alignment horizontal="center"/>
    </xf>
    <xf numFmtId="0" fontId="4" fillId="0" borderId="1" xfId="1" applyFont="1" applyBorder="1" applyAlignment="1">
      <alignment horizontal="left"/>
    </xf>
    <xf numFmtId="164" fontId="4" fillId="0" borderId="0" xfId="1" applyNumberFormat="1" applyFont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0" xfId="1" applyFont="1" applyBorder="1" applyAlignment="1">
      <alignment horizontal="left"/>
    </xf>
    <xf numFmtId="0" fontId="7" fillId="0" borderId="0" xfId="3" applyFont="1"/>
    <xf numFmtId="0" fontId="6" fillId="0" borderId="0" xfId="3"/>
    <xf numFmtId="1" fontId="6" fillId="0" borderId="0" xfId="3" applyNumberFormat="1"/>
    <xf numFmtId="1" fontId="7" fillId="0" borderId="0" xfId="3" applyNumberFormat="1" applyFont="1"/>
    <xf numFmtId="0" fontId="8" fillId="0" borderId="0" xfId="2"/>
    <xf numFmtId="0" fontId="9" fillId="0" borderId="0" xfId="2" applyFont="1" applyAlignment="1">
      <alignment horizontal="center"/>
    </xf>
    <xf numFmtId="165" fontId="8" fillId="0" borderId="0" xfId="2" applyNumberFormat="1" applyAlignment="1">
      <alignment horizontal="center"/>
    </xf>
    <xf numFmtId="0" fontId="8" fillId="0" borderId="0" xfId="2" applyAlignment="1">
      <alignment horizontal="center"/>
    </xf>
    <xf numFmtId="1" fontId="8" fillId="0" borderId="0" xfId="2" applyNumberFormat="1" applyAlignment="1">
      <alignment horizontal="center"/>
    </xf>
    <xf numFmtId="0" fontId="9" fillId="0" borderId="0" xfId="2" applyFont="1"/>
    <xf numFmtId="0" fontId="8" fillId="0" borderId="0" xfId="2" applyFont="1"/>
    <xf numFmtId="164" fontId="8" fillId="0" borderId="0" xfId="2" applyNumberFormat="1" applyAlignment="1">
      <alignment horizontal="center"/>
    </xf>
    <xf numFmtId="0" fontId="8" fillId="0" borderId="0" xfId="2" applyFont="1"/>
    <xf numFmtId="0" fontId="9" fillId="0" borderId="1" xfId="2" applyFont="1" applyBorder="1" applyAlignment="1">
      <alignment horizontal="center" vertical="center" wrapText="1"/>
    </xf>
    <xf numFmtId="0" fontId="8" fillId="0" borderId="0" xfId="2" applyFont="1" applyAlignment="1">
      <alignment horizontal="left" indent="2"/>
    </xf>
    <xf numFmtId="0" fontId="9" fillId="0" borderId="0" xfId="2" applyFont="1" applyBorder="1" applyAlignment="1">
      <alignment horizontal="center" vertical="center" wrapText="1"/>
    </xf>
    <xf numFmtId="0" fontId="8" fillId="0" borderId="0" xfId="2" applyFont="1" applyAlignment="1">
      <alignment horizontal="left" indent="2"/>
    </xf>
    <xf numFmtId="166" fontId="9" fillId="0" borderId="1" xfId="2" applyNumberFormat="1" applyFont="1" applyBorder="1" applyAlignment="1">
      <alignment horizontal="center" vertical="center" wrapText="1"/>
    </xf>
    <xf numFmtId="166" fontId="9" fillId="0" borderId="0" xfId="2" applyNumberFormat="1" applyFont="1" applyBorder="1" applyAlignment="1">
      <alignment horizontal="center" vertical="center" wrapText="1"/>
    </xf>
    <xf numFmtId="166" fontId="9" fillId="0" borderId="0" xfId="2" applyNumberFormat="1" applyFont="1" applyAlignment="1">
      <alignment horizontal="center"/>
    </xf>
    <xf numFmtId="166" fontId="8" fillId="0" borderId="0" xfId="2" applyNumberFormat="1" applyAlignment="1">
      <alignment horizontal="center"/>
    </xf>
    <xf numFmtId="166" fontId="8" fillId="0" borderId="0" xfId="2" applyNumberFormat="1"/>
    <xf numFmtId="0" fontId="9" fillId="0" borderId="1" xfId="2" applyFont="1" applyBorder="1" applyAlignment="1">
      <alignment horizontal="center" wrapText="1"/>
    </xf>
    <xf numFmtId="0" fontId="0" fillId="0" borderId="0" xfId="2" applyFont="1"/>
    <xf numFmtId="0" fontId="0" fillId="0" borderId="0" xfId="2" applyFont="1" applyAlignment="1">
      <alignment horizontal="left" indent="2"/>
    </xf>
    <xf numFmtId="0" fontId="0" fillId="0" borderId="0" xfId="0" applyAlignment="1">
      <alignment horizontal="left" wrapText="1"/>
    </xf>
  </cellXfs>
  <cellStyles count="4">
    <cellStyle name="Normal" xfId="0" builtinId="0"/>
    <cellStyle name="Normal 2" xfId="1"/>
    <cellStyle name="Normal 2 2" xfId="2"/>
    <cellStyle name="Normal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Number Match 3 Predicted Means</a:t>
            </a:r>
          </a:p>
        </c:rich>
      </c:tx>
      <c:layout>
        <c:manualLayout>
          <c:xMode val="edge"/>
          <c:yMode val="edge"/>
          <c:x val="0.34305838797911364"/>
          <c:y val="2.071018338507095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2992032033445566"/>
          <c:y val="0.23520710059171607"/>
          <c:w val="0.86001932842055162"/>
          <c:h val="0.61834319526627213"/>
        </c:manualLayout>
      </c:layout>
      <c:lineChart>
        <c:grouping val="standard"/>
        <c:ser>
          <c:idx val="1"/>
          <c:order val="0"/>
          <c:tx>
            <c:strRef>
              <c:f>'Means Data'!$J$4</c:f>
              <c:strCache>
                <c:ptCount val="1"/>
                <c:pt idx="0">
                  <c:v>Saturated Means 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'Means Data'!$K$4:$P$4</c:f>
              <c:numCache>
                <c:formatCode>General</c:formatCode>
                <c:ptCount val="6"/>
                <c:pt idx="0">
                  <c:v>1962</c:v>
                </c:pt>
                <c:pt idx="1">
                  <c:v>1815</c:v>
                </c:pt>
                <c:pt idx="2">
                  <c:v>1750</c:v>
                </c:pt>
                <c:pt idx="3">
                  <c:v>1718</c:v>
                </c:pt>
                <c:pt idx="4">
                  <c:v>1707</c:v>
                </c:pt>
                <c:pt idx="5">
                  <c:v>1672</c:v>
                </c:pt>
              </c:numCache>
            </c:numRef>
          </c:val>
        </c:ser>
        <c:ser>
          <c:idx val="0"/>
          <c:order val="1"/>
          <c:tx>
            <c:strRef>
              <c:f>'Means Data'!$J$5</c:f>
              <c:strCache>
                <c:ptCount val="1"/>
                <c:pt idx="0">
                  <c:v>Random Linear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ysDash"/>
            </a:ln>
          </c:spPr>
          <c:marker>
            <c:symbol val="diamond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'Means Data'!$K$5:$P$5</c:f>
              <c:numCache>
                <c:formatCode>0</c:formatCode>
                <c:ptCount val="6"/>
                <c:pt idx="0">
                  <c:v>1899.63</c:v>
                </c:pt>
                <c:pt idx="1">
                  <c:v>1848.0581000000002</c:v>
                </c:pt>
                <c:pt idx="2">
                  <c:v>1796.4862000000001</c:v>
                </c:pt>
                <c:pt idx="3">
                  <c:v>1744.9143000000001</c:v>
                </c:pt>
                <c:pt idx="4">
                  <c:v>1693.3424</c:v>
                </c:pt>
                <c:pt idx="5">
                  <c:v>1641.7705000000001</c:v>
                </c:pt>
              </c:numCache>
            </c:numRef>
          </c:val>
        </c:ser>
        <c:ser>
          <c:idx val="2"/>
          <c:order val="2"/>
          <c:tx>
            <c:strRef>
              <c:f>'Means Data'!$J$6</c:f>
              <c:strCache>
                <c:ptCount val="1"/>
                <c:pt idx="0">
                  <c:v>Random Quadratic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ysDash"/>
            </a:ln>
          </c:spPr>
          <c:marker>
            <c:symbol val="triang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val>
            <c:numRef>
              <c:f>'Means Data'!$K$6:$P$6</c:f>
              <c:numCache>
                <c:formatCode>0</c:formatCode>
                <c:ptCount val="6"/>
                <c:pt idx="0">
                  <c:v>1945.85</c:v>
                </c:pt>
                <c:pt idx="1">
                  <c:v>1838.8155999999999</c:v>
                </c:pt>
                <c:pt idx="2">
                  <c:v>1759.5124000000001</c:v>
                </c:pt>
                <c:pt idx="3">
                  <c:v>1707.9404</c:v>
                </c:pt>
                <c:pt idx="4">
                  <c:v>1684.0996</c:v>
                </c:pt>
                <c:pt idx="5">
                  <c:v>1687.9899999999998</c:v>
                </c:pt>
              </c:numCache>
            </c:numRef>
          </c:val>
        </c:ser>
        <c:ser>
          <c:idx val="4"/>
          <c:order val="3"/>
          <c:tx>
            <c:strRef>
              <c:f>'Means Data'!$J$17</c:f>
              <c:strCache>
                <c:ptCount val="1"/>
                <c:pt idx="0">
                  <c:v>Two Slopes Piecewise</c:v>
                </c:pt>
              </c:strCache>
            </c:strRef>
          </c:tx>
          <c:spPr>
            <a:ln w="25400">
              <a:solidFill>
                <a:srgbClr val="0000FF"/>
              </a:solidFill>
              <a:prstDash val="lgDashDot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'Means Data'!$K$17:$P$17</c:f>
              <c:numCache>
                <c:formatCode>0</c:formatCode>
                <c:ptCount val="6"/>
                <c:pt idx="0">
                  <c:v>1961.89</c:v>
                </c:pt>
                <c:pt idx="1">
                  <c:v>1798.25</c:v>
                </c:pt>
                <c:pt idx="2">
                  <c:v>1765.3568</c:v>
                </c:pt>
                <c:pt idx="3">
                  <c:v>1732.4636</c:v>
                </c:pt>
                <c:pt idx="4">
                  <c:v>1699.5704000000001</c:v>
                </c:pt>
                <c:pt idx="5">
                  <c:v>1666.6772000000001</c:v>
                </c:pt>
              </c:numCache>
            </c:numRef>
          </c:val>
        </c:ser>
        <c:ser>
          <c:idx val="3"/>
          <c:order val="4"/>
          <c:tx>
            <c:strRef>
              <c:f>'Means Data'!$J$22</c:f>
              <c:strCache>
                <c:ptCount val="1"/>
                <c:pt idx="0">
                  <c:v>Exponential</c:v>
                </c:pt>
              </c:strCache>
            </c:strRef>
          </c:tx>
          <c:marker>
            <c:symbol val="x"/>
            <c:size val="10"/>
          </c:marker>
          <c:val>
            <c:numRef>
              <c:f>'Means Data'!$K$22:$P$22</c:f>
              <c:numCache>
                <c:formatCode>0</c:formatCode>
                <c:ptCount val="6"/>
                <c:pt idx="0">
                  <c:v>1963.42</c:v>
                </c:pt>
                <c:pt idx="1">
                  <c:v>1815.2786388325244</c:v>
                </c:pt>
                <c:pt idx="2">
                  <c:v>1745.5321583128748</c:v>
                </c:pt>
                <c:pt idx="3">
                  <c:v>1712.6947960357834</c:v>
                </c:pt>
                <c:pt idx="4">
                  <c:v>1697.2346272461459</c:v>
                </c:pt>
                <c:pt idx="5">
                  <c:v>1689.9558203496849</c:v>
                </c:pt>
              </c:numCache>
            </c:numRef>
          </c:val>
        </c:ser>
        <c:marker val="1"/>
        <c:axId val="59844864"/>
        <c:axId val="59851520"/>
      </c:lineChart>
      <c:catAx>
        <c:axId val="5984486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Session</a:t>
                </a:r>
              </a:p>
            </c:rich>
          </c:tx>
          <c:layout>
            <c:manualLayout>
              <c:xMode val="edge"/>
              <c:yMode val="edge"/>
              <c:x val="0.51609660398648549"/>
              <c:y val="0.9289939996932586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59851520"/>
        <c:crosses val="autoZero"/>
        <c:auto val="1"/>
        <c:lblAlgn val="ctr"/>
        <c:lblOffset val="100"/>
        <c:tickLblSkip val="1"/>
        <c:tickMarkSkip val="1"/>
      </c:catAx>
      <c:valAx>
        <c:axId val="59851520"/>
        <c:scaling>
          <c:orientation val="minMax"/>
          <c:min val="16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RT</a:t>
                </a:r>
              </a:p>
            </c:rich>
          </c:tx>
          <c:layout>
            <c:manualLayout>
              <c:xMode val="edge"/>
              <c:yMode val="edge"/>
              <c:x val="1.1066550021652383E-2"/>
              <c:y val="0.5192307132079575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5984486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2.6896851612789346E-2"/>
          <c:y val="9.7633136094674555E-2"/>
          <c:w val="0.95656502669284071"/>
          <c:h val="0.11038704256383997"/>
        </c:manualLayout>
      </c:layout>
      <c:spPr>
        <a:solidFill>
          <a:srgbClr val="FFFFFF"/>
        </a:solidFill>
        <a:ln w="3175">
          <a:noFill/>
          <a:prstDash val="solid"/>
        </a:ln>
      </c:spPr>
    </c:legend>
    <c:plotVisOnly val="1"/>
    <c:dispBlanksAs val="gap"/>
  </c:chart>
  <c:spPr>
    <a:solidFill>
      <a:schemeClr val="bg1"/>
    </a:solidFill>
    <a:ln w="9525"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lineChart>
        <c:grouping val="standard"/>
        <c:ser>
          <c:idx val="0"/>
          <c:order val="0"/>
          <c:tx>
            <c:v>Random Linear</c:v>
          </c:tx>
          <c:marker>
            <c:symbol val="none"/>
          </c:marker>
          <c:val>
            <c:numRef>
              <c:f>'Variances Data'!$C$50:$L$50</c:f>
              <c:numCache>
                <c:formatCode>0</c:formatCode>
                <c:ptCount val="10"/>
                <c:pt idx="0">
                  <c:v>281163</c:v>
                </c:pt>
                <c:pt idx="1">
                  <c:v>257994.83000000002</c:v>
                </c:pt>
                <c:pt idx="2">
                  <c:v>239294.32</c:v>
                </c:pt>
                <c:pt idx="3">
                  <c:v>225061.46999999997</c:v>
                </c:pt>
                <c:pt idx="4">
                  <c:v>215296.28000000003</c:v>
                </c:pt>
                <c:pt idx="5">
                  <c:v>209998.75</c:v>
                </c:pt>
                <c:pt idx="6">
                  <c:v>209168.88</c:v>
                </c:pt>
                <c:pt idx="7">
                  <c:v>212806.66999999998</c:v>
                </c:pt>
                <c:pt idx="8">
                  <c:v>220912.12</c:v>
                </c:pt>
                <c:pt idx="9">
                  <c:v>233485.22999999998</c:v>
                </c:pt>
              </c:numCache>
            </c:numRef>
          </c:val>
        </c:ser>
        <c:marker val="1"/>
        <c:axId val="64000384"/>
        <c:axId val="77348864"/>
      </c:lineChart>
      <c:catAx>
        <c:axId val="64000384"/>
        <c:scaling>
          <c:orientation val="minMax"/>
        </c:scaling>
        <c:axPos val="b"/>
        <c:numFmt formatCode="General" sourceLinked="1"/>
        <c:tickLblPos val="nextTo"/>
        <c:crossAx val="77348864"/>
        <c:crosses val="autoZero"/>
        <c:auto val="1"/>
        <c:lblAlgn val="ctr"/>
        <c:lblOffset val="100"/>
      </c:catAx>
      <c:valAx>
        <c:axId val="77348864"/>
        <c:scaling>
          <c:orientation val="minMax"/>
        </c:scaling>
        <c:axPos val="l"/>
        <c:majorGridlines/>
        <c:numFmt formatCode="0" sourceLinked="1"/>
        <c:tickLblPos val="nextTo"/>
        <c:crossAx val="64000384"/>
        <c:crosses val="autoZero"/>
        <c:crossBetween val="between"/>
      </c:valAx>
    </c:plotArea>
    <c:plotVisOnly val="1"/>
    <c:dispBlanksAs val="gap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lineChart>
        <c:grouping val="standard"/>
        <c:ser>
          <c:idx val="0"/>
          <c:order val="0"/>
          <c:tx>
            <c:v>Random Quadratic</c:v>
          </c:tx>
          <c:marker>
            <c:symbol val="none"/>
          </c:marker>
          <c:val>
            <c:numRef>
              <c:f>'Variances Data'!$C$69:$L$69</c:f>
              <c:numCache>
                <c:formatCode>0</c:formatCode>
                <c:ptCount val="10"/>
                <c:pt idx="0">
                  <c:v>296504</c:v>
                </c:pt>
                <c:pt idx="1">
                  <c:v>251507.75</c:v>
                </c:pt>
                <c:pt idx="2">
                  <c:v>235842.08000000002</c:v>
                </c:pt>
                <c:pt idx="3">
                  <c:v>225508.06999999998</c:v>
                </c:pt>
                <c:pt idx="4">
                  <c:v>211734.08000000002</c:v>
                </c:pt>
                <c:pt idx="5">
                  <c:v>200975.75</c:v>
                </c:pt>
                <c:pt idx="6">
                  <c:v>214916.00000000023</c:v>
                </c:pt>
                <c:pt idx="7">
                  <c:v>290465.0299999998</c:v>
                </c:pt>
                <c:pt idx="8">
                  <c:v>479760.31999999983</c:v>
                </c:pt>
                <c:pt idx="9">
                  <c:v>850166.62999999896</c:v>
                </c:pt>
              </c:numCache>
            </c:numRef>
          </c:val>
        </c:ser>
        <c:marker val="1"/>
        <c:axId val="77364608"/>
        <c:axId val="77378688"/>
      </c:lineChart>
      <c:catAx>
        <c:axId val="77364608"/>
        <c:scaling>
          <c:orientation val="minMax"/>
        </c:scaling>
        <c:axPos val="b"/>
        <c:numFmt formatCode="General" sourceLinked="1"/>
        <c:tickLblPos val="nextTo"/>
        <c:crossAx val="77378688"/>
        <c:crosses val="autoZero"/>
        <c:auto val="1"/>
        <c:lblAlgn val="ctr"/>
        <c:lblOffset val="100"/>
      </c:catAx>
      <c:valAx>
        <c:axId val="77378688"/>
        <c:scaling>
          <c:orientation val="minMax"/>
        </c:scaling>
        <c:axPos val="l"/>
        <c:majorGridlines/>
        <c:numFmt formatCode="0" sourceLinked="1"/>
        <c:tickLblPos val="nextTo"/>
        <c:crossAx val="77364608"/>
        <c:crosses val="autoZero"/>
        <c:crossBetween val="between"/>
      </c:valAx>
    </c:plotArea>
    <c:plotVisOnly val="1"/>
    <c:dispBlanksAs val="gap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Predicted Variance By Polynomial Model</a:t>
            </a:r>
          </a:p>
        </c:rich>
      </c:tx>
      <c:layout>
        <c:manualLayout>
          <c:xMode val="edge"/>
          <c:yMode val="edge"/>
          <c:x val="0.34652366009515062"/>
          <c:y val="2.288792155164159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6580580704268744"/>
          <c:y val="0.25129074285152414"/>
          <c:w val="0.82312769331947022"/>
          <c:h val="0.6422003630355777"/>
        </c:manualLayout>
      </c:layout>
      <c:lineChart>
        <c:grouping val="standard"/>
        <c:ser>
          <c:idx val="0"/>
          <c:order val="0"/>
          <c:tx>
            <c:strRef>
              <c:f>'Variances Data'!$B$3</c:f>
              <c:strCache>
                <c:ptCount val="1"/>
                <c:pt idx="0">
                  <c:v>Unstructured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'Variances Data'!$C$3:$H$3</c:f>
              <c:numCache>
                <c:formatCode>0</c:formatCode>
                <c:ptCount val="6"/>
                <c:pt idx="0">
                  <c:v>301985</c:v>
                </c:pt>
                <c:pt idx="1">
                  <c:v>259150</c:v>
                </c:pt>
                <c:pt idx="2">
                  <c:v>233368</c:v>
                </c:pt>
                <c:pt idx="3">
                  <c:v>217544</c:v>
                </c:pt>
                <c:pt idx="4">
                  <c:v>212098</c:v>
                </c:pt>
                <c:pt idx="5">
                  <c:v>196733</c:v>
                </c:pt>
              </c:numCache>
            </c:numRef>
          </c:val>
        </c:ser>
        <c:ser>
          <c:idx val="1"/>
          <c:order val="1"/>
          <c:tx>
            <c:strRef>
              <c:f>'Variances Data'!$B$4</c:f>
              <c:strCache>
                <c:ptCount val="1"/>
                <c:pt idx="0">
                  <c:v>Random Intercept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lgDash"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'Variances Data'!$C$4:$H$4</c:f>
              <c:numCache>
                <c:formatCode>0</c:formatCode>
                <c:ptCount val="6"/>
                <c:pt idx="0">
                  <c:v>245783</c:v>
                </c:pt>
                <c:pt idx="1">
                  <c:v>245783</c:v>
                </c:pt>
                <c:pt idx="2">
                  <c:v>245783</c:v>
                </c:pt>
                <c:pt idx="3">
                  <c:v>245783</c:v>
                </c:pt>
                <c:pt idx="4">
                  <c:v>245783</c:v>
                </c:pt>
                <c:pt idx="5">
                  <c:v>245783</c:v>
                </c:pt>
              </c:numCache>
            </c:numRef>
          </c:val>
        </c:ser>
        <c:ser>
          <c:idx val="2"/>
          <c:order val="2"/>
          <c:tx>
            <c:strRef>
              <c:f>'Variances Data'!$B$5</c:f>
              <c:strCache>
                <c:ptCount val="1"/>
                <c:pt idx="0">
                  <c:v>Random Linear</c:v>
                </c:pt>
              </c:strCache>
            </c:strRef>
          </c:tx>
          <c:spPr>
            <a:ln w="25400">
              <a:solidFill>
                <a:srgbClr val="00FF00"/>
              </a:solidFill>
              <a:prstDash val="lgDash"/>
            </a:ln>
          </c:spPr>
          <c:marker>
            <c:symbol val="triang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val>
            <c:numRef>
              <c:f>'Variances Data'!$C$5:$H$5</c:f>
              <c:numCache>
                <c:formatCode>0</c:formatCode>
                <c:ptCount val="6"/>
                <c:pt idx="0">
                  <c:v>281163</c:v>
                </c:pt>
                <c:pt idx="1">
                  <c:v>257995</c:v>
                </c:pt>
                <c:pt idx="2">
                  <c:v>239295</c:v>
                </c:pt>
                <c:pt idx="3">
                  <c:v>225063</c:v>
                </c:pt>
                <c:pt idx="4">
                  <c:v>215298</c:v>
                </c:pt>
                <c:pt idx="5">
                  <c:v>210001</c:v>
                </c:pt>
              </c:numCache>
            </c:numRef>
          </c:val>
        </c:ser>
        <c:ser>
          <c:idx val="3"/>
          <c:order val="3"/>
          <c:tx>
            <c:strRef>
              <c:f>'Variances Data'!$B$6</c:f>
              <c:strCache>
                <c:ptCount val="1"/>
                <c:pt idx="0">
                  <c:v>Random Quadratic</c:v>
                </c:pt>
              </c:strCache>
            </c:strRef>
          </c:tx>
          <c:spPr>
            <a:ln w="25400">
              <a:solidFill>
                <a:srgbClr val="0000FF"/>
              </a:solidFill>
              <a:prstDash val="lgDash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'Variances Data'!$C$6:$H$6</c:f>
              <c:numCache>
                <c:formatCode>0</c:formatCode>
                <c:ptCount val="6"/>
                <c:pt idx="0">
                  <c:v>296504</c:v>
                </c:pt>
                <c:pt idx="1">
                  <c:v>251508</c:v>
                </c:pt>
                <c:pt idx="2">
                  <c:v>235842</c:v>
                </c:pt>
                <c:pt idx="3">
                  <c:v>225508</c:v>
                </c:pt>
                <c:pt idx="4">
                  <c:v>211735</c:v>
                </c:pt>
                <c:pt idx="5">
                  <c:v>200977</c:v>
                </c:pt>
              </c:numCache>
            </c:numRef>
          </c:val>
        </c:ser>
        <c:marker val="1"/>
        <c:axId val="64972672"/>
        <c:axId val="65008000"/>
      </c:lineChart>
      <c:catAx>
        <c:axId val="6497267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Session</a:t>
                </a:r>
              </a:p>
            </c:rich>
          </c:tx>
          <c:layout>
            <c:manualLayout>
              <c:xMode val="edge"/>
              <c:yMode val="edge"/>
              <c:x val="0.50804837848124629"/>
              <c:y val="0.9452663722096051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65008000"/>
        <c:crosses val="autoZero"/>
        <c:auto val="1"/>
        <c:lblAlgn val="ctr"/>
        <c:lblOffset val="100"/>
        <c:tickLblSkip val="1"/>
        <c:tickMarkSkip val="1"/>
      </c:catAx>
      <c:valAx>
        <c:axId val="65008000"/>
        <c:scaling>
          <c:orientation val="minMax"/>
          <c:min val="1000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RT</a:t>
                </a:r>
                <a:r>
                  <a:rPr lang="en-US" baseline="0"/>
                  <a:t> </a:t>
                </a:r>
                <a:r>
                  <a:rPr lang="en-US"/>
                  <a:t>Variance</a:t>
                </a:r>
              </a:p>
            </c:rich>
          </c:tx>
          <c:layout>
            <c:manualLayout>
              <c:xMode val="edge"/>
              <c:yMode val="edge"/>
              <c:x val="9.0543496728386578E-3"/>
              <c:y val="0.41258281829978771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64972672"/>
        <c:crosses val="autoZero"/>
        <c:crossBetween val="between"/>
      </c:valAx>
      <c:spPr>
        <a:solidFill>
          <a:sysClr val="window" lastClr="FFFFFF"/>
        </a:solidFill>
        <a:ln w="12700">
          <a:solidFill>
            <a:schemeClr val="tx1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92895123836807"/>
          <c:y val="9.4814814814814824E-2"/>
          <c:w val="0.80536643777431116"/>
          <c:h val="0.12627634951295533"/>
        </c:manualLayout>
      </c:layout>
      <c:spPr>
        <a:solidFill>
          <a:srgbClr val="FFFFFF"/>
        </a:solidFill>
        <a:ln w="3175">
          <a:noFill/>
          <a:prstDash val="solid"/>
        </a:ln>
      </c:spPr>
    </c:legend>
    <c:plotVisOnly val="1"/>
    <c:dispBlanksAs val="gap"/>
  </c:chart>
  <c:spPr>
    <a:solidFill>
      <a:sysClr val="window" lastClr="FFFFFF"/>
    </a:solidFill>
    <a:ln w="9525"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465827</xdr:colOff>
      <xdr:row>1</xdr:row>
      <xdr:rowOff>103516</xdr:rowOff>
    </xdr:from>
    <xdr:to>
      <xdr:col>26</xdr:col>
      <xdr:colOff>146650</xdr:colOff>
      <xdr:row>24</xdr:row>
      <xdr:rowOff>69010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267419</xdr:colOff>
      <xdr:row>38</xdr:row>
      <xdr:rowOff>94891</xdr:rowOff>
    </xdr:from>
    <xdr:to>
      <xdr:col>21</xdr:col>
      <xdr:colOff>491706</xdr:colOff>
      <xdr:row>55</xdr:row>
      <xdr:rowOff>25879</xdr:rowOff>
    </xdr:to>
    <xdr:graphicFrame macro="">
      <xdr:nvGraphicFramePr>
        <xdr:cNvPr id="209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276045</xdr:colOff>
      <xdr:row>56</xdr:row>
      <xdr:rowOff>112143</xdr:rowOff>
    </xdr:from>
    <xdr:to>
      <xdr:col>21</xdr:col>
      <xdr:colOff>508958</xdr:colOff>
      <xdr:row>73</xdr:row>
      <xdr:rowOff>69011</xdr:rowOff>
    </xdr:to>
    <xdr:graphicFrame macro="">
      <xdr:nvGraphicFramePr>
        <xdr:cNvPr id="209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569342</xdr:colOff>
      <xdr:row>1</xdr:row>
      <xdr:rowOff>112142</xdr:rowOff>
    </xdr:from>
    <xdr:to>
      <xdr:col>22</xdr:col>
      <xdr:colOff>508958</xdr:colOff>
      <xdr:row>24</xdr:row>
      <xdr:rowOff>155275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6"/>
  <sheetViews>
    <sheetView workbookViewId="0">
      <selection activeCell="J35" sqref="J35"/>
    </sheetView>
  </sheetViews>
  <sheetFormatPr defaultRowHeight="14.3"/>
  <cols>
    <col min="1" max="2" width="7.375" style="5" customWidth="1"/>
    <col min="3" max="3" width="8.875" style="5" bestFit="1" customWidth="1"/>
    <col min="4" max="5" width="7.375" style="5" customWidth="1"/>
    <col min="6" max="6" width="9.5" style="5" bestFit="1" customWidth="1"/>
    <col min="7" max="8" width="7.375" style="5" customWidth="1"/>
    <col min="9" max="9" width="2.5" style="6" customWidth="1"/>
    <col min="10" max="10" width="30.375" style="7" bestFit="1" customWidth="1"/>
    <col min="11" max="16" width="7.625" style="5" customWidth="1"/>
    <col min="17" max="16384" width="9" style="6"/>
  </cols>
  <sheetData>
    <row r="1" spans="1:16">
      <c r="A1" s="4" t="s">
        <v>47</v>
      </c>
      <c r="J1" s="7" t="s">
        <v>64</v>
      </c>
      <c r="K1" s="5">
        <f>K2-1</f>
        <v>0</v>
      </c>
      <c r="L1" s="5">
        <f>L2-1</f>
        <v>1</v>
      </c>
      <c r="M1" s="5">
        <f>M2-1</f>
        <v>2</v>
      </c>
      <c r="N1" s="5">
        <f>N2-1</f>
        <v>3</v>
      </c>
      <c r="O1" s="5">
        <f>O2-1</f>
        <v>4</v>
      </c>
      <c r="P1" s="5">
        <f>P2-1</f>
        <v>5</v>
      </c>
    </row>
    <row r="2" spans="1:16">
      <c r="A2" s="8" t="s">
        <v>14</v>
      </c>
      <c r="B2" s="8" t="s">
        <v>8</v>
      </c>
      <c r="C2" s="8" t="s">
        <v>10</v>
      </c>
      <c r="D2" s="8"/>
      <c r="E2" s="8"/>
      <c r="F2" s="8"/>
      <c r="G2" s="8"/>
      <c r="H2" s="8"/>
      <c r="I2" s="8"/>
      <c r="J2" s="9" t="s">
        <v>15</v>
      </c>
      <c r="K2" s="10">
        <v>1</v>
      </c>
      <c r="L2" s="10">
        <v>2</v>
      </c>
      <c r="M2" s="10">
        <v>3</v>
      </c>
      <c r="N2" s="10">
        <v>4</v>
      </c>
      <c r="O2" s="10">
        <v>5</v>
      </c>
      <c r="P2" s="10">
        <v>6</v>
      </c>
    </row>
    <row r="3" spans="1:16">
      <c r="J3" s="6"/>
      <c r="K3" s="6"/>
      <c r="L3" s="6"/>
      <c r="M3" s="6"/>
      <c r="N3" s="6"/>
      <c r="O3" s="6"/>
      <c r="P3" s="6"/>
    </row>
    <row r="4" spans="1:16">
      <c r="J4" s="7" t="s">
        <v>63</v>
      </c>
      <c r="K4" s="5">
        <v>1962</v>
      </c>
      <c r="L4" s="5">
        <v>1815</v>
      </c>
      <c r="M4" s="5">
        <v>1750</v>
      </c>
      <c r="N4" s="5">
        <v>1718</v>
      </c>
      <c r="O4" s="5">
        <v>1707</v>
      </c>
      <c r="P4" s="5">
        <v>1672</v>
      </c>
    </row>
    <row r="5" spans="1:16">
      <c r="A5" s="5">
        <v>1899.63</v>
      </c>
      <c r="B5" s="5">
        <v>-51.571899999999999</v>
      </c>
      <c r="J5" s="7" t="s">
        <v>56</v>
      </c>
      <c r="K5" s="11">
        <f>$A5 + ($B5*K1)</f>
        <v>1899.63</v>
      </c>
      <c r="L5" s="11">
        <f>$A5 + ($B5*L1)</f>
        <v>1848.0581000000002</v>
      </c>
      <c r="M5" s="11">
        <f>$A5 + ($B5*M1)</f>
        <v>1796.4862000000001</v>
      </c>
      <c r="N5" s="11">
        <f>$A5 + ($B5*N1)</f>
        <v>1744.9143000000001</v>
      </c>
      <c r="O5" s="11">
        <f>$A5 + ($B5*O1)</f>
        <v>1693.3424</v>
      </c>
      <c r="P5" s="11">
        <f>$A5 + ($B5*P1)</f>
        <v>1641.7705000000001</v>
      </c>
    </row>
    <row r="6" spans="1:16">
      <c r="A6" s="13">
        <v>1945.85</v>
      </c>
      <c r="B6" s="13">
        <v>-120.9</v>
      </c>
      <c r="C6" s="13">
        <v>13.865600000000001</v>
      </c>
      <c r="J6" s="7" t="s">
        <v>57</v>
      </c>
      <c r="K6" s="11">
        <f>$A6 + ($B6*K1) + ($C6*K1*K1)</f>
        <v>1945.85</v>
      </c>
      <c r="L6" s="11">
        <f>$A6 + ($B6*L1) + ($C6*L1*L1)</f>
        <v>1838.8155999999999</v>
      </c>
      <c r="M6" s="11">
        <f>$A6 + ($B6*M1) + ($C6*M1*M1)</f>
        <v>1759.5124000000001</v>
      </c>
      <c r="N6" s="11">
        <f>$A6 + ($B6*N1) + ($C6*N1*N1)</f>
        <v>1707.9404</v>
      </c>
      <c r="O6" s="11">
        <f>$A6 + ($B6*O1) + ($C6*O1*O1)</f>
        <v>1684.0996</v>
      </c>
      <c r="P6" s="11">
        <f>$A6 + ($B6*P1) + ($C6*P1*P1)</f>
        <v>1687.9899999999998</v>
      </c>
    </row>
    <row r="8" spans="1:16">
      <c r="A8" s="4" t="s">
        <v>76</v>
      </c>
    </row>
    <row r="9" spans="1:16">
      <c r="A9" s="8" t="s">
        <v>14</v>
      </c>
      <c r="B9" s="8"/>
      <c r="C9" s="8"/>
      <c r="D9" s="8" t="s">
        <v>42</v>
      </c>
      <c r="E9" s="8" t="s">
        <v>43</v>
      </c>
      <c r="F9" s="8"/>
      <c r="G9" s="8"/>
      <c r="H9" s="8"/>
      <c r="I9" s="8"/>
      <c r="J9" s="9" t="s">
        <v>15</v>
      </c>
      <c r="K9" s="10">
        <v>1</v>
      </c>
      <c r="L9" s="10">
        <v>2</v>
      </c>
      <c r="M9" s="10">
        <v>3</v>
      </c>
      <c r="N9" s="10">
        <v>4</v>
      </c>
      <c r="O9" s="10">
        <v>5</v>
      </c>
      <c r="P9" s="10">
        <v>6</v>
      </c>
    </row>
    <row r="10" spans="1:16">
      <c r="A10" s="14"/>
      <c r="B10" s="14"/>
      <c r="C10" s="14"/>
      <c r="D10" s="14"/>
      <c r="E10" s="14"/>
      <c r="F10" s="14"/>
      <c r="G10" s="14"/>
      <c r="H10" s="14"/>
      <c r="I10" s="14"/>
      <c r="J10" s="15"/>
      <c r="K10" s="14"/>
      <c r="L10" s="14"/>
      <c r="M10" s="14"/>
      <c r="N10" s="14"/>
      <c r="O10" s="14"/>
      <c r="P10" s="14"/>
    </row>
    <row r="11" spans="1:16">
      <c r="J11" s="7" t="s">
        <v>46</v>
      </c>
      <c r="K11" s="5">
        <v>0</v>
      </c>
      <c r="L11" s="5">
        <v>1</v>
      </c>
      <c r="M11" s="5">
        <v>2</v>
      </c>
      <c r="N11" s="5">
        <v>3</v>
      </c>
      <c r="O11" s="5">
        <v>4</v>
      </c>
      <c r="P11" s="5">
        <v>5</v>
      </c>
    </row>
    <row r="12" spans="1:16">
      <c r="J12" s="12" t="s">
        <v>43</v>
      </c>
      <c r="K12" s="8">
        <v>0</v>
      </c>
      <c r="L12" s="8">
        <v>0</v>
      </c>
      <c r="M12" s="8">
        <v>1</v>
      </c>
      <c r="N12" s="8">
        <v>2</v>
      </c>
      <c r="O12" s="8">
        <v>3</v>
      </c>
      <c r="P12" s="8">
        <v>4</v>
      </c>
    </row>
    <row r="13" spans="1:16">
      <c r="J13" s="15" t="s">
        <v>53</v>
      </c>
      <c r="K13" s="5">
        <v>0</v>
      </c>
      <c r="L13" s="5">
        <v>1</v>
      </c>
      <c r="M13" s="5">
        <v>1</v>
      </c>
      <c r="N13" s="5">
        <v>1</v>
      </c>
      <c r="O13" s="5">
        <v>1</v>
      </c>
      <c r="P13" s="5">
        <v>1</v>
      </c>
    </row>
    <row r="14" spans="1:16">
      <c r="J14" s="12" t="s">
        <v>43</v>
      </c>
      <c r="K14" s="8">
        <v>0</v>
      </c>
      <c r="L14" s="8">
        <v>0</v>
      </c>
      <c r="M14" s="8">
        <v>1</v>
      </c>
      <c r="N14" s="8">
        <v>2</v>
      </c>
      <c r="O14" s="8">
        <v>3</v>
      </c>
      <c r="P14" s="8">
        <v>4</v>
      </c>
    </row>
    <row r="16" spans="1:16">
      <c r="A16" s="5">
        <v>1961.89</v>
      </c>
      <c r="D16" s="5">
        <v>-163.63999999999999</v>
      </c>
      <c r="E16" s="5">
        <v>130.75</v>
      </c>
      <c r="J16" s="7" t="s">
        <v>45</v>
      </c>
      <c r="K16" s="11">
        <f t="shared" ref="K16:P16" si="0">$A$16 + ($D16*K11) + ($E16*K12)</f>
        <v>1961.89</v>
      </c>
      <c r="L16" s="11">
        <f t="shared" si="0"/>
        <v>1798.25</v>
      </c>
      <c r="M16" s="11">
        <f t="shared" si="0"/>
        <v>1765.3600000000001</v>
      </c>
      <c r="N16" s="11">
        <f t="shared" si="0"/>
        <v>1732.4700000000003</v>
      </c>
      <c r="O16" s="11">
        <f t="shared" si="0"/>
        <v>1699.5800000000002</v>
      </c>
      <c r="P16" s="11">
        <f t="shared" si="0"/>
        <v>1666.69</v>
      </c>
    </row>
    <row r="17" spans="1:16">
      <c r="A17" s="5">
        <v>1961.89</v>
      </c>
      <c r="D17" s="5">
        <v>-163.63999999999999</v>
      </c>
      <c r="E17" s="5">
        <v>-32.8932</v>
      </c>
      <c r="J17" s="7" t="s">
        <v>75</v>
      </c>
      <c r="K17" s="11">
        <f t="shared" ref="K17:P17" si="1">$A$17 + ($D17*K13) + ($E17*K14)</f>
        <v>1961.89</v>
      </c>
      <c r="L17" s="11">
        <f t="shared" si="1"/>
        <v>1798.25</v>
      </c>
      <c r="M17" s="11">
        <f t="shared" si="1"/>
        <v>1765.3568</v>
      </c>
      <c r="N17" s="11">
        <f t="shared" si="1"/>
        <v>1732.4636</v>
      </c>
      <c r="O17" s="11">
        <f t="shared" si="1"/>
        <v>1699.5704000000001</v>
      </c>
      <c r="P17" s="11">
        <f t="shared" si="1"/>
        <v>1666.6772000000001</v>
      </c>
    </row>
    <row r="19" spans="1:16">
      <c r="A19" s="4" t="s">
        <v>77</v>
      </c>
      <c r="J19" s="7" t="s">
        <v>64</v>
      </c>
      <c r="K19" s="5">
        <f>K20-1</f>
        <v>0</v>
      </c>
      <c r="L19" s="5">
        <f>L20-1</f>
        <v>1</v>
      </c>
      <c r="M19" s="5">
        <f>M20-1</f>
        <v>2</v>
      </c>
      <c r="N19" s="5">
        <f>N20-1</f>
        <v>3</v>
      </c>
      <c r="O19" s="5">
        <f>O20-1</f>
        <v>4</v>
      </c>
      <c r="P19" s="5">
        <f>P20-1</f>
        <v>5</v>
      </c>
    </row>
    <row r="20" spans="1:16">
      <c r="A20" s="8"/>
      <c r="B20" s="8"/>
      <c r="C20" s="8"/>
      <c r="D20" s="8"/>
      <c r="E20" s="8"/>
      <c r="F20" s="8"/>
      <c r="G20" s="8"/>
      <c r="H20" s="8"/>
      <c r="I20" s="8"/>
      <c r="J20" s="9" t="s">
        <v>15</v>
      </c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0">
        <v>6</v>
      </c>
    </row>
    <row r="21" spans="1:16">
      <c r="F21" s="5" t="s">
        <v>78</v>
      </c>
      <c r="G21" s="5" t="s">
        <v>79</v>
      </c>
      <c r="H21" s="5" t="s">
        <v>80</v>
      </c>
      <c r="J21" s="6"/>
      <c r="K21" s="6"/>
      <c r="L21" s="6"/>
      <c r="M21" s="6"/>
      <c r="N21" s="6"/>
      <c r="O21" s="6"/>
      <c r="P21" s="6"/>
    </row>
    <row r="22" spans="1:16">
      <c r="A22" s="13"/>
      <c r="B22" s="13"/>
      <c r="C22" s="13"/>
      <c r="F22" s="5">
        <v>1683.48</v>
      </c>
      <c r="G22" s="5">
        <v>279.94</v>
      </c>
      <c r="H22" s="5">
        <v>-0.75329999999999997</v>
      </c>
      <c r="J22" s="7" t="s">
        <v>81</v>
      </c>
      <c r="K22" s="11">
        <f>$F22+($G22*(EXP($H22*K$19)))</f>
        <v>1963.42</v>
      </c>
      <c r="L22" s="11">
        <f t="shared" ref="L22:P22" si="2">$F22+($G22*(EXP($H22*L$19)))</f>
        <v>1815.2786388325244</v>
      </c>
      <c r="M22" s="11">
        <f t="shared" si="2"/>
        <v>1745.5321583128748</v>
      </c>
      <c r="N22" s="11">
        <f t="shared" si="2"/>
        <v>1712.6947960357834</v>
      </c>
      <c r="O22" s="11">
        <f t="shared" si="2"/>
        <v>1697.2346272461459</v>
      </c>
      <c r="P22" s="11">
        <f t="shared" si="2"/>
        <v>1689.9558203496849</v>
      </c>
    </row>
    <row r="25" spans="1:16">
      <c r="L25" s="11"/>
      <c r="M25" s="11"/>
      <c r="N25" s="11"/>
      <c r="O25" s="11"/>
      <c r="P25" s="11"/>
    </row>
    <row r="26" spans="1:16">
      <c r="K26" s="11"/>
      <c r="L26" s="11"/>
      <c r="M26" s="11"/>
      <c r="N26" s="11"/>
      <c r="O26" s="11"/>
      <c r="P26" s="11"/>
    </row>
  </sheetData>
  <phoneticPr fontId="5" type="noConversion"/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69"/>
  <sheetViews>
    <sheetView workbookViewId="0">
      <selection activeCell="X40" sqref="X40"/>
    </sheetView>
  </sheetViews>
  <sheetFormatPr defaultRowHeight="12.9"/>
  <cols>
    <col min="1" max="1" width="9" style="17"/>
    <col min="2" max="2" width="12.375" style="17" customWidth="1"/>
    <col min="3" max="12" width="8.875" style="17" customWidth="1"/>
    <col min="13" max="16384" width="9" style="17"/>
  </cols>
  <sheetData>
    <row r="1" spans="1:12" ht="13.6">
      <c r="A1" s="16" t="s">
        <v>49</v>
      </c>
    </row>
    <row r="2" spans="1:12">
      <c r="A2" s="17" t="s">
        <v>0</v>
      </c>
      <c r="B2" s="17" t="s">
        <v>16</v>
      </c>
      <c r="C2" s="17">
        <v>1</v>
      </c>
      <c r="D2" s="17">
        <v>2</v>
      </c>
      <c r="E2" s="17">
        <v>3</v>
      </c>
      <c r="F2" s="17">
        <v>4</v>
      </c>
      <c r="G2" s="17">
        <v>5</v>
      </c>
      <c r="H2" s="17">
        <v>6</v>
      </c>
    </row>
    <row r="3" spans="1:12">
      <c r="A3" s="17">
        <v>0</v>
      </c>
      <c r="B3" s="17" t="s">
        <v>54</v>
      </c>
      <c r="C3" s="18">
        <v>301985</v>
      </c>
      <c r="D3" s="18">
        <v>259150</v>
      </c>
      <c r="E3" s="18">
        <v>233368</v>
      </c>
      <c r="F3" s="18">
        <v>217544</v>
      </c>
      <c r="G3" s="18">
        <v>212098</v>
      </c>
      <c r="H3" s="18">
        <v>196733</v>
      </c>
    </row>
    <row r="4" spans="1:12">
      <c r="A4" s="17" t="s">
        <v>17</v>
      </c>
      <c r="B4" s="17" t="s">
        <v>55</v>
      </c>
      <c r="C4" s="18">
        <v>245783</v>
      </c>
      <c r="D4" s="18">
        <v>245783</v>
      </c>
      <c r="E4" s="18">
        <v>245783</v>
      </c>
      <c r="F4" s="18">
        <v>245783</v>
      </c>
      <c r="G4" s="18">
        <v>245783</v>
      </c>
      <c r="H4" s="18">
        <v>245783</v>
      </c>
    </row>
    <row r="5" spans="1:12">
      <c r="A5" s="17" t="s">
        <v>18</v>
      </c>
      <c r="B5" s="17" t="s">
        <v>56</v>
      </c>
      <c r="C5" s="18">
        <v>281163</v>
      </c>
      <c r="D5" s="18">
        <v>257995</v>
      </c>
      <c r="E5" s="18">
        <v>239295</v>
      </c>
      <c r="F5" s="18">
        <v>225063</v>
      </c>
      <c r="G5" s="18">
        <v>215298</v>
      </c>
      <c r="H5" s="18">
        <v>210001</v>
      </c>
    </row>
    <row r="6" spans="1:12">
      <c r="A6" s="17" t="s">
        <v>19</v>
      </c>
      <c r="B6" s="17" t="s">
        <v>57</v>
      </c>
      <c r="C6" s="18">
        <v>296504</v>
      </c>
      <c r="D6" s="18">
        <v>251508</v>
      </c>
      <c r="E6" s="18">
        <v>235842</v>
      </c>
      <c r="F6" s="18">
        <v>225508</v>
      </c>
      <c r="G6" s="18">
        <v>211735</v>
      </c>
      <c r="H6" s="18">
        <v>200977</v>
      </c>
    </row>
    <row r="8" spans="1:12" ht="13.6">
      <c r="B8" s="16" t="s">
        <v>20</v>
      </c>
      <c r="C8" s="16"/>
      <c r="D8" s="16"/>
      <c r="E8" s="16"/>
    </row>
    <row r="9" spans="1:12" ht="13.6">
      <c r="B9" s="16" t="s">
        <v>21</v>
      </c>
      <c r="C9" s="16" t="s">
        <v>22</v>
      </c>
      <c r="D9" s="16" t="s">
        <v>23</v>
      </c>
      <c r="E9" s="16" t="s">
        <v>24</v>
      </c>
    </row>
    <row r="10" spans="1:12" ht="13.6">
      <c r="B10" s="19">
        <v>27905</v>
      </c>
      <c r="C10" s="19">
        <v>253258</v>
      </c>
      <c r="D10" s="19">
        <v>2233.83</v>
      </c>
      <c r="E10" s="19">
        <v>-12701</v>
      </c>
    </row>
    <row r="12" spans="1:12">
      <c r="C12" s="17">
        <v>0</v>
      </c>
      <c r="D12" s="17">
        <v>1</v>
      </c>
      <c r="E12" s="17">
        <v>2</v>
      </c>
      <c r="F12" s="17">
        <v>3</v>
      </c>
      <c r="G12" s="17">
        <v>4</v>
      </c>
      <c r="H12" s="17">
        <v>5</v>
      </c>
      <c r="I12" s="17">
        <v>6</v>
      </c>
      <c r="J12" s="17">
        <v>7</v>
      </c>
      <c r="K12" s="17">
        <v>8</v>
      </c>
      <c r="L12" s="17">
        <v>9</v>
      </c>
    </row>
    <row r="13" spans="1:12">
      <c r="B13" s="17">
        <v>0</v>
      </c>
      <c r="C13" s="18">
        <f>$B$10+$C$10 + ($D$10*C$12*C$12) + (2*$E$10*C$12)</f>
        <v>281163</v>
      </c>
      <c r="D13" s="18"/>
      <c r="E13" s="18"/>
      <c r="F13" s="18"/>
      <c r="G13" s="18"/>
      <c r="H13" s="18"/>
    </row>
    <row r="14" spans="1:12">
      <c r="B14" s="17">
        <v>1</v>
      </c>
      <c r="C14" s="18">
        <f>$C$10 + ($E$10*(C$12+$B14)) + ($D$10*C$12*$B14)</f>
        <v>240557</v>
      </c>
      <c r="D14" s="18">
        <f>$B$10+$C$10 + ($D$10*D$12*D$12) + (2*$E$10*D$12)</f>
        <v>257994.83000000002</v>
      </c>
      <c r="E14" s="18"/>
      <c r="F14" s="18"/>
      <c r="G14" s="18"/>
      <c r="H14" s="18"/>
    </row>
    <row r="15" spans="1:12">
      <c r="B15" s="17">
        <v>2</v>
      </c>
      <c r="C15" s="18">
        <f>$C$10 + ($E$10*(C$12+$B15)) + ($D$10*C$12*$B15)</f>
        <v>227856</v>
      </c>
      <c r="D15" s="18">
        <f>$C$10 + ($E$10*(D$12+$B15)) + ($D$10*D$12*$B15)</f>
        <v>219622.66</v>
      </c>
      <c r="E15" s="18">
        <f>$B$10+$C$10 + ($D$10*E$12*E$12) + (2*$E$10*E$12)</f>
        <v>239294.32</v>
      </c>
      <c r="F15" s="18"/>
      <c r="G15" s="18"/>
      <c r="H15" s="18"/>
    </row>
    <row r="16" spans="1:12">
      <c r="B16" s="17">
        <v>3</v>
      </c>
      <c r="C16" s="18">
        <f>$C$10 + ($E$10*(C$12+$B16)) + ($D$10*C$12*$B16)</f>
        <v>215155</v>
      </c>
      <c r="D16" s="18">
        <f>$C$10 + ($E$10*(D$12+$B16)) + ($D$10*D$12*$B16)</f>
        <v>209155.49</v>
      </c>
      <c r="E16" s="18">
        <f>$C$10 + ($E$10*(E$12+$B16)) + ($D$10*E$12*$B16)</f>
        <v>203155.98</v>
      </c>
      <c r="F16" s="18">
        <f>$B$10+$C$10 + ($D$10*F$12*F$12) + (2*$E$10*F$12)</f>
        <v>225061.46999999997</v>
      </c>
      <c r="G16" s="18"/>
      <c r="H16" s="18"/>
    </row>
    <row r="17" spans="2:12">
      <c r="B17" s="17">
        <v>4</v>
      </c>
      <c r="C17" s="18">
        <f>$C$10 + ($E$10*(C$12+$B17)) + ($D$10*C$12*$B17)</f>
        <v>202454</v>
      </c>
      <c r="D17" s="18">
        <f>$C$10 + ($E$10*(D$12+$B17)) + ($D$10*D$12*$B17)</f>
        <v>198688.32</v>
      </c>
      <c r="E17" s="18">
        <f>$C$10 + ($E$10*(E$12+$B17)) + ($D$10*E$12*$B17)</f>
        <v>194922.64</v>
      </c>
      <c r="F17" s="18">
        <f>$C$10 + ($E$10*(F$12+$B17)) + ($D$10*F$12*$B17)</f>
        <v>191156.96</v>
      </c>
      <c r="G17" s="18">
        <f>$B$10+$C$10 + ($D$10*G$12*G$12) + (2*$E$10*G$12)</f>
        <v>215296.28000000003</v>
      </c>
      <c r="H17" s="18"/>
    </row>
    <row r="18" spans="2:12">
      <c r="B18" s="17">
        <v>5</v>
      </c>
      <c r="C18" s="18">
        <f>$C$10 + ($E$10*(C$12+$B18)) + ($D$10*C$12*$B18)</f>
        <v>189753</v>
      </c>
      <c r="D18" s="18">
        <f>$C$10 + ($E$10*(D$12+$B18)) + ($D$10*D$12*$B18)</f>
        <v>188221.15</v>
      </c>
      <c r="E18" s="18">
        <f>$C$10 + ($E$10*(E$12+$B18)) + ($D$10*E$12*$B18)</f>
        <v>186689.3</v>
      </c>
      <c r="F18" s="18">
        <f>$C$10 + ($E$10*(F$12+$B18)) + ($D$10*F$12*$B18)</f>
        <v>185157.45</v>
      </c>
      <c r="G18" s="18">
        <f>$C$10 + ($E$10*(G$12+$B18)) + ($D$10*G$12*$B18)</f>
        <v>183625.60000000001</v>
      </c>
      <c r="H18" s="18">
        <f>$B$10+$C$10 + ($D$10*H$12*H$12) + (2*$E$10*H$12)</f>
        <v>209998.75</v>
      </c>
    </row>
    <row r="21" spans="2:12" ht="13.6">
      <c r="B21" s="16" t="s">
        <v>25</v>
      </c>
      <c r="C21" s="16"/>
      <c r="D21" s="16"/>
      <c r="E21" s="16"/>
    </row>
    <row r="22" spans="2:12" ht="13.6">
      <c r="B22" s="16" t="s">
        <v>21</v>
      </c>
      <c r="C22" s="16" t="s">
        <v>22</v>
      </c>
      <c r="D22" s="16" t="s">
        <v>23</v>
      </c>
      <c r="E22" s="16" t="s">
        <v>24</v>
      </c>
      <c r="F22" s="16" t="s">
        <v>26</v>
      </c>
      <c r="G22" s="16" t="s">
        <v>27</v>
      </c>
      <c r="H22" s="16" t="s">
        <v>28</v>
      </c>
    </row>
    <row r="23" spans="2:12" ht="13.6">
      <c r="B23" s="16">
        <v>20298</v>
      </c>
      <c r="C23" s="16">
        <v>276206</v>
      </c>
      <c r="D23" s="16">
        <v>25840</v>
      </c>
      <c r="E23" s="16">
        <v>-35734</v>
      </c>
      <c r="F23" s="16">
        <v>634.47</v>
      </c>
      <c r="G23" s="16">
        <v>3901.96</v>
      </c>
      <c r="H23" s="16">
        <v>-3903.32</v>
      </c>
    </row>
    <row r="25" spans="2:12">
      <c r="C25" s="17">
        <v>0</v>
      </c>
      <c r="D25" s="17">
        <v>1</v>
      </c>
      <c r="E25" s="17">
        <v>2</v>
      </c>
      <c r="F25" s="17">
        <v>3</v>
      </c>
      <c r="G25" s="17">
        <v>4</v>
      </c>
      <c r="H25" s="17">
        <v>5</v>
      </c>
      <c r="I25" s="17">
        <v>6</v>
      </c>
      <c r="J25" s="17">
        <v>7</v>
      </c>
      <c r="K25" s="17">
        <v>8</v>
      </c>
      <c r="L25" s="17">
        <v>9</v>
      </c>
    </row>
    <row r="26" spans="2:12">
      <c r="B26" s="17">
        <v>0</v>
      </c>
      <c r="C26" s="18">
        <f>$B$23+$C$23 + ($D$23*C$25^2) + (2*$E$23*C$25) + ($F$23*C$25^4) + (2*$G$23*C$25^2) + (2*$H$23*C$25^3)</f>
        <v>296504</v>
      </c>
      <c r="D26" s="18"/>
      <c r="E26" s="18"/>
      <c r="F26" s="18"/>
      <c r="G26" s="18"/>
      <c r="H26" s="18"/>
    </row>
    <row r="27" spans="2:12">
      <c r="B27" s="17">
        <v>1</v>
      </c>
      <c r="C27" s="18">
        <f>$C$23 + ($E$23*(C$25+$B27)) + ($D$23*C$25*$B27) + ($G$23*(C$25^2+$B27^2)) + ($H$23*((C$25*$B27^2)+(C$25^2*$B27))) + ($F$23*C$25^2*$B27^2)</f>
        <v>244373.96</v>
      </c>
      <c r="D27" s="18">
        <f>$B$23+$C$23 + ($D$23*D$25^2) + (2*$E$23*D$25) + ($F$23*D$25^4) + (2*$G$23*D$25^2) + (2*$H$23*D$25^3)</f>
        <v>251507.75</v>
      </c>
      <c r="E27" s="18"/>
      <c r="F27" s="18"/>
      <c r="G27" s="18"/>
      <c r="H27" s="18"/>
    </row>
    <row r="28" spans="2:12">
      <c r="B28" s="17">
        <v>2</v>
      </c>
      <c r="C28" s="18">
        <f t="shared" ref="C28:G31" si="0">$C$23 + ($E$23*(C$25+$B28)) + ($D$23*C$25*$B28) + ($G$23*(C$25^2+$B28^2)) + ($H$23*((C$25*$B28^2)+(C$25^2*$B28))) + ($F$23*C$25^2*$B28^2)</f>
        <v>220345.84</v>
      </c>
      <c r="D28" s="18">
        <f t="shared" si="0"/>
        <v>219311.75999999998</v>
      </c>
      <c r="E28" s="18">
        <f>$B$23+$C$23 + ($D$23*E$25^2) + (2*$E$23*E$25) + ($F$23*E$25^4) + (2*$G$23*E$25^2) + (2*$H$23*E$25^3)</f>
        <v>235842.08000000002</v>
      </c>
      <c r="F28" s="18"/>
      <c r="G28" s="18"/>
      <c r="H28" s="18"/>
    </row>
    <row r="29" spans="2:12">
      <c r="B29" s="17">
        <v>3</v>
      </c>
      <c r="C29" s="18">
        <f t="shared" si="0"/>
        <v>204121.64</v>
      </c>
      <c r="D29" s="18">
        <f t="shared" si="0"/>
        <v>208679.99000000002</v>
      </c>
      <c r="E29" s="18">
        <f t="shared" si="0"/>
        <v>209042.8</v>
      </c>
      <c r="F29" s="18">
        <f>$B$23+$C$23 + ($D$23*F$25^2) + (2*$E$23*F$25) + ($F$23*F$25^4) + (2*$G$23*F$25^2) + (2*$H$23*F$25^3)</f>
        <v>225508.06999999998</v>
      </c>
      <c r="G29" s="18"/>
      <c r="H29" s="18"/>
    </row>
    <row r="30" spans="2:12">
      <c r="B30" s="17">
        <v>4</v>
      </c>
      <c r="C30" s="18">
        <f t="shared" si="0"/>
        <v>195701.36</v>
      </c>
      <c r="D30" s="18">
        <f t="shared" si="0"/>
        <v>199314.43999999997</v>
      </c>
      <c r="E30" s="18">
        <f t="shared" si="0"/>
        <v>199807.91999999998</v>
      </c>
      <c r="F30" s="18">
        <f t="shared" si="0"/>
        <v>197181.8</v>
      </c>
      <c r="G30" s="18">
        <f>$B$23+$C$23 + ($D$23*G$25^2) + (2*$E$23*G$25) + ($F$23*G$25^4) + (2*$G$23*G$25^2) + (2*$H$23*G$25^3)</f>
        <v>211734.08000000002</v>
      </c>
      <c r="H30" s="18"/>
    </row>
    <row r="31" spans="2:12">
      <c r="B31" s="17">
        <v>5</v>
      </c>
      <c r="C31" s="18">
        <f t="shared" si="0"/>
        <v>195085</v>
      </c>
      <c r="D31" s="18">
        <f t="shared" si="0"/>
        <v>191215.11000000002</v>
      </c>
      <c r="E31" s="18">
        <f t="shared" si="0"/>
        <v>187839.43999999994</v>
      </c>
      <c r="F31" s="18">
        <f t="shared" si="0"/>
        <v>184957.99</v>
      </c>
      <c r="G31" s="18">
        <f t="shared" si="0"/>
        <v>182570.76</v>
      </c>
      <c r="H31" s="18">
        <f>$B$23+$C$23 + ($D$23*H$25^2) + (2*$E$23*H$25) + ($F$23*H$25^4) + (2*$G$23*H$25^2) + (2*$H$23*H$25^3)</f>
        <v>200975.75</v>
      </c>
    </row>
    <row r="34" spans="2:12" ht="13.6">
      <c r="B34" s="16" t="s">
        <v>29</v>
      </c>
      <c r="C34" s="16"/>
      <c r="D34" s="16"/>
      <c r="E34" s="16"/>
    </row>
    <row r="35" spans="2:12" ht="13.6">
      <c r="B35" s="16" t="s">
        <v>21</v>
      </c>
      <c r="C35" s="16" t="s">
        <v>22</v>
      </c>
      <c r="D35" s="16" t="s">
        <v>23</v>
      </c>
      <c r="E35" s="16" t="s">
        <v>24</v>
      </c>
    </row>
    <row r="36" spans="2:12" ht="13.6">
      <c r="B36" s="19">
        <v>27905</v>
      </c>
      <c r="C36" s="19">
        <v>253258</v>
      </c>
      <c r="D36" s="19">
        <v>2233.83</v>
      </c>
      <c r="E36" s="19">
        <v>-12701</v>
      </c>
    </row>
    <row r="38" spans="2:12">
      <c r="C38" s="17">
        <v>0</v>
      </c>
      <c r="D38" s="17">
        <v>1</v>
      </c>
      <c r="E38" s="17">
        <v>2</v>
      </c>
      <c r="F38" s="17">
        <v>3</v>
      </c>
      <c r="G38" s="17">
        <v>4</v>
      </c>
      <c r="H38" s="17">
        <v>5</v>
      </c>
      <c r="I38" s="17">
        <v>6</v>
      </c>
      <c r="J38" s="17">
        <v>7</v>
      </c>
      <c r="K38" s="17">
        <v>8</v>
      </c>
      <c r="L38" s="17">
        <v>9</v>
      </c>
    </row>
    <row r="39" spans="2:12">
      <c r="B39" s="17">
        <v>0</v>
      </c>
      <c r="C39" s="18">
        <f>$B$36+$C$36 + ($D$36*C$38*C$38) + (2*$E$36*C$38)</f>
        <v>281163</v>
      </c>
      <c r="D39" s="18"/>
      <c r="E39" s="18"/>
      <c r="F39" s="18"/>
      <c r="G39" s="18"/>
      <c r="H39" s="18"/>
      <c r="I39" s="18"/>
      <c r="J39" s="18"/>
      <c r="K39" s="18"/>
      <c r="L39" s="18"/>
    </row>
    <row r="40" spans="2:12">
      <c r="B40" s="17">
        <v>1</v>
      </c>
      <c r="C40" s="18">
        <f>$C$36 + ($E$36*(C$38+$B40)) + ($D$36*C$38*$B40)</f>
        <v>240557</v>
      </c>
      <c r="D40" s="18">
        <f>$B$36+$C$36 + ($D$36*D$38*D$38) + (2*$E$36*D$38)</f>
        <v>257994.83000000002</v>
      </c>
      <c r="E40" s="18"/>
      <c r="F40" s="18"/>
      <c r="G40" s="18"/>
      <c r="H40" s="18"/>
      <c r="I40" s="18"/>
      <c r="J40" s="18"/>
      <c r="K40" s="18"/>
      <c r="L40" s="18"/>
    </row>
    <row r="41" spans="2:12">
      <c r="B41" s="17">
        <v>2</v>
      </c>
      <c r="C41" s="18">
        <f t="shared" ref="C41:I48" si="1">$C$36 + ($E$36*(C$38+$B41)) + ($D$36*C$38*$B41)</f>
        <v>227856</v>
      </c>
      <c r="D41" s="18">
        <f>$C$36 + ($E$36*(D$38+$B41)) + ($D$36*D$38*$B41)</f>
        <v>219622.66</v>
      </c>
      <c r="E41" s="18">
        <f>$B$36+$C$36 + ($D$36*E$38*E$38) + (2*$E$36*E$38)</f>
        <v>239294.32</v>
      </c>
      <c r="F41" s="18"/>
      <c r="G41" s="18"/>
      <c r="H41" s="18"/>
      <c r="I41" s="18"/>
      <c r="J41" s="18"/>
      <c r="K41" s="18"/>
      <c r="L41" s="18"/>
    </row>
    <row r="42" spans="2:12">
      <c r="B42" s="17">
        <v>3</v>
      </c>
      <c r="C42" s="18">
        <f t="shared" si="1"/>
        <v>215155</v>
      </c>
      <c r="D42" s="18">
        <f t="shared" si="1"/>
        <v>209155.49</v>
      </c>
      <c r="E42" s="18">
        <f>$C$36 + ($E$36*(E$38+$B42)) + ($D$36*E$38*$B42)</f>
        <v>203155.98</v>
      </c>
      <c r="F42" s="18">
        <f>$B$36+$C$36 + ($D$36*F$38*F$38) + (2*$E$36*F$38)</f>
        <v>225061.46999999997</v>
      </c>
      <c r="G42" s="18"/>
      <c r="H42" s="18"/>
      <c r="I42" s="18"/>
      <c r="J42" s="18"/>
      <c r="K42" s="18"/>
      <c r="L42" s="18"/>
    </row>
    <row r="43" spans="2:12">
      <c r="B43" s="17">
        <v>4</v>
      </c>
      <c r="C43" s="18">
        <f t="shared" si="1"/>
        <v>202454</v>
      </c>
      <c r="D43" s="18">
        <f>$C$36 + ($E$36*(D$38+$B43)) + ($D$36*D$38*$B43)</f>
        <v>198688.32</v>
      </c>
      <c r="E43" s="18">
        <f t="shared" si="1"/>
        <v>194922.64</v>
      </c>
      <c r="F43" s="18">
        <f>$C$36 + ($E$36*(F$38+$B43)) + ($D$36*F$38*$B43)</f>
        <v>191156.96</v>
      </c>
      <c r="G43" s="18">
        <f>$B$36+$C$36 + ($D$36*G$38*G$38) + (2*$E$36*G$38)</f>
        <v>215296.28000000003</v>
      </c>
      <c r="H43" s="18"/>
      <c r="I43" s="18"/>
      <c r="J43" s="18"/>
      <c r="K43" s="18"/>
      <c r="L43" s="18"/>
    </row>
    <row r="44" spans="2:12">
      <c r="B44" s="17">
        <v>5</v>
      </c>
      <c r="C44" s="18">
        <f t="shared" si="1"/>
        <v>189753</v>
      </c>
      <c r="D44" s="18">
        <f t="shared" si="1"/>
        <v>188221.15</v>
      </c>
      <c r="E44" s="18">
        <f t="shared" si="1"/>
        <v>186689.3</v>
      </c>
      <c r="F44" s="18">
        <f t="shared" si="1"/>
        <v>185157.45</v>
      </c>
      <c r="G44" s="18">
        <f>$C$36 + ($E$36*(G$38+$B44)) + ($D$36*G$38*$B44)</f>
        <v>183625.60000000001</v>
      </c>
      <c r="H44" s="18">
        <f>$B$36+$C$36 + ($D$36*H$38*H$38) + (2*$E$36*H$38)</f>
        <v>209998.75</v>
      </c>
      <c r="I44" s="18"/>
      <c r="J44" s="18"/>
      <c r="K44" s="18"/>
      <c r="L44" s="18"/>
    </row>
    <row r="45" spans="2:12">
      <c r="B45" s="17">
        <v>6</v>
      </c>
      <c r="C45" s="18">
        <f t="shared" si="1"/>
        <v>177052</v>
      </c>
      <c r="D45" s="18">
        <f t="shared" si="1"/>
        <v>177753.98</v>
      </c>
      <c r="E45" s="18">
        <f t="shared" si="1"/>
        <v>178455.96</v>
      </c>
      <c r="F45" s="18">
        <f t="shared" si="1"/>
        <v>179157.94</v>
      </c>
      <c r="G45" s="18">
        <f t="shared" si="1"/>
        <v>179859.91999999998</v>
      </c>
      <c r="H45" s="18">
        <f>$C$36 + ($E$36*(H$38+$B45)) + ($D$36*H$38*$B45)</f>
        <v>180561.9</v>
      </c>
      <c r="I45" s="18">
        <f>$B$36+$C$36 + ($D$36*I$38*I$38) + (2*$E$36*I$38)</f>
        <v>209168.88</v>
      </c>
      <c r="J45" s="18"/>
      <c r="K45" s="18"/>
      <c r="L45" s="18"/>
    </row>
    <row r="46" spans="2:12">
      <c r="B46" s="17">
        <v>7</v>
      </c>
      <c r="C46" s="18">
        <f t="shared" si="1"/>
        <v>164351</v>
      </c>
      <c r="D46" s="18">
        <f t="shared" si="1"/>
        <v>167286.81</v>
      </c>
      <c r="E46" s="18">
        <f t="shared" si="1"/>
        <v>170222.62</v>
      </c>
      <c r="F46" s="18">
        <f t="shared" si="1"/>
        <v>173158.43</v>
      </c>
      <c r="G46" s="18">
        <f t="shared" si="1"/>
        <v>176094.24</v>
      </c>
      <c r="H46" s="18">
        <f t="shared" si="1"/>
        <v>179030.05</v>
      </c>
      <c r="I46" s="18">
        <f>$C$36 + ($E$36*(I$38+$B46)) + ($D$36*I$38*$B46)</f>
        <v>181965.86</v>
      </c>
      <c r="J46" s="18">
        <f>$B$36+$C$36 + ($D$36*J$38*J$38) + (2*$E$36*J$38)</f>
        <v>212806.66999999998</v>
      </c>
      <c r="K46" s="18"/>
      <c r="L46" s="18"/>
    </row>
    <row r="47" spans="2:12">
      <c r="B47" s="17">
        <v>8</v>
      </c>
      <c r="C47" s="18">
        <f t="shared" si="1"/>
        <v>151650</v>
      </c>
      <c r="D47" s="18">
        <f t="shared" si="1"/>
        <v>156819.64000000001</v>
      </c>
      <c r="E47" s="18">
        <f t="shared" si="1"/>
        <v>161989.28</v>
      </c>
      <c r="F47" s="18">
        <f t="shared" si="1"/>
        <v>167158.91999999998</v>
      </c>
      <c r="G47" s="18">
        <f t="shared" si="1"/>
        <v>172328.56</v>
      </c>
      <c r="H47" s="18">
        <f t="shared" si="1"/>
        <v>177498.2</v>
      </c>
      <c r="I47" s="18">
        <f t="shared" si="1"/>
        <v>182667.84</v>
      </c>
      <c r="J47" s="18">
        <f>$C$36 + ($E$36*(J$38+$B47)) + ($D$36*J$38*$B47)</f>
        <v>187837.47999999998</v>
      </c>
      <c r="K47" s="18">
        <f>$B$36+$C$36 + ($D$36*K$38*K$38) + (2*$E$36*K$38)</f>
        <v>220912.12</v>
      </c>
      <c r="L47" s="18"/>
    </row>
    <row r="48" spans="2:12">
      <c r="B48" s="17">
        <v>9</v>
      </c>
      <c r="C48" s="18">
        <f t="shared" si="1"/>
        <v>138949</v>
      </c>
      <c r="D48" s="18">
        <f t="shared" si="1"/>
        <v>146352.47</v>
      </c>
      <c r="E48" s="18">
        <f t="shared" si="1"/>
        <v>153755.94</v>
      </c>
      <c r="F48" s="18">
        <f t="shared" si="1"/>
        <v>161159.41</v>
      </c>
      <c r="G48" s="18">
        <f t="shared" si="1"/>
        <v>168562.88</v>
      </c>
      <c r="H48" s="18">
        <f t="shared" si="1"/>
        <v>175966.34999999998</v>
      </c>
      <c r="I48" s="18">
        <f t="shared" si="1"/>
        <v>183369.82</v>
      </c>
      <c r="J48" s="18">
        <f>$C$36 + ($E$36*(J$38+$B48)) + ($D$36*J$38*$B48)</f>
        <v>190773.29</v>
      </c>
      <c r="K48" s="18">
        <f>$C$36 + ($E$36*(K$38+$B48)) + ($D$36*K$38*$B48)</f>
        <v>198176.76</v>
      </c>
      <c r="L48" s="18">
        <f>$B$36+$C$36 + ($D$36*L$38*L$38) + (2*$E$36*L$38)</f>
        <v>233485.22999999998</v>
      </c>
    </row>
    <row r="49" spans="2:12">
      <c r="C49" s="18"/>
      <c r="D49" s="18"/>
      <c r="E49" s="18"/>
      <c r="F49" s="18"/>
      <c r="G49" s="18"/>
      <c r="H49" s="18"/>
      <c r="I49" s="18"/>
      <c r="J49" s="18"/>
      <c r="K49" s="18"/>
      <c r="L49" s="18"/>
    </row>
    <row r="50" spans="2:12">
      <c r="B50" s="17" t="s">
        <v>30</v>
      </c>
      <c r="C50" s="18">
        <f>C39</f>
        <v>281163</v>
      </c>
      <c r="D50" s="18">
        <f>D40</f>
        <v>257994.83000000002</v>
      </c>
      <c r="E50" s="18">
        <f>E41</f>
        <v>239294.32</v>
      </c>
      <c r="F50" s="18">
        <f>F42</f>
        <v>225061.46999999997</v>
      </c>
      <c r="G50" s="18">
        <f>G43</f>
        <v>215296.28000000003</v>
      </c>
      <c r="H50" s="18">
        <f>H44</f>
        <v>209998.75</v>
      </c>
      <c r="I50" s="18">
        <f>I45</f>
        <v>209168.88</v>
      </c>
      <c r="J50" s="18">
        <f>J46</f>
        <v>212806.66999999998</v>
      </c>
      <c r="K50" s="18">
        <f>K47</f>
        <v>220912.12</v>
      </c>
      <c r="L50" s="18">
        <f>L48</f>
        <v>233485.22999999998</v>
      </c>
    </row>
    <row r="53" spans="2:12" ht="13.6">
      <c r="B53" s="16" t="s">
        <v>31</v>
      </c>
      <c r="C53" s="16"/>
      <c r="D53" s="16"/>
      <c r="E53" s="16"/>
    </row>
    <row r="54" spans="2:12" ht="13.6">
      <c r="B54" s="16" t="s">
        <v>21</v>
      </c>
      <c r="C54" s="16" t="s">
        <v>22</v>
      </c>
      <c r="D54" s="16" t="s">
        <v>23</v>
      </c>
      <c r="E54" s="16" t="s">
        <v>24</v>
      </c>
      <c r="F54" s="16" t="s">
        <v>26</v>
      </c>
      <c r="G54" s="16" t="s">
        <v>27</v>
      </c>
      <c r="H54" s="16" t="s">
        <v>28</v>
      </c>
    </row>
    <row r="55" spans="2:12" ht="13.6">
      <c r="B55" s="16">
        <v>20298</v>
      </c>
      <c r="C55" s="16">
        <v>276206</v>
      </c>
      <c r="D55" s="16">
        <v>25840</v>
      </c>
      <c r="E55" s="16">
        <v>-35734</v>
      </c>
      <c r="F55" s="16">
        <v>634.47</v>
      </c>
      <c r="G55" s="16">
        <v>3901.96</v>
      </c>
      <c r="H55" s="16">
        <v>-3903.32</v>
      </c>
    </row>
    <row r="57" spans="2:12">
      <c r="C57" s="17">
        <v>0</v>
      </c>
      <c r="D57" s="17">
        <v>1</v>
      </c>
      <c r="E57" s="17">
        <v>2</v>
      </c>
      <c r="F57" s="17">
        <v>3</v>
      </c>
      <c r="G57" s="17">
        <v>4</v>
      </c>
      <c r="H57" s="17">
        <v>5</v>
      </c>
      <c r="I57" s="17">
        <v>6</v>
      </c>
      <c r="J57" s="17">
        <v>7</v>
      </c>
      <c r="K57" s="17">
        <v>8</v>
      </c>
      <c r="L57" s="17">
        <v>9</v>
      </c>
    </row>
    <row r="58" spans="2:12">
      <c r="B58" s="17">
        <v>0</v>
      </c>
      <c r="C58" s="18">
        <f>$B$23+$C$23 + ($D$23*C$25^2) + (2*$E$23*C$25) + ($F$23*C$25^4) + (2*$G$23*C$25^2) + (2*$H$23*C$25^3)</f>
        <v>296504</v>
      </c>
      <c r="D58" s="18"/>
      <c r="E58" s="18"/>
      <c r="F58" s="18"/>
      <c r="G58" s="18"/>
      <c r="H58" s="18"/>
      <c r="I58" s="18"/>
      <c r="J58" s="18"/>
      <c r="K58" s="18"/>
      <c r="L58" s="18"/>
    </row>
    <row r="59" spans="2:12">
      <c r="B59" s="17">
        <v>1</v>
      </c>
      <c r="C59" s="18">
        <f>$C$23 + ($E$23*(C$25+$B59)) + ($D$23*C$25*$B59) + ($G$23*(C$25^2+$B59^2)) + ($H$23*((C$25*$B59^2)+(C$25^2*$B59))) + ($F$23*C$25^2*$B59^2)</f>
        <v>244373.96</v>
      </c>
      <c r="D59" s="18">
        <f>$B$23+$C$23 + ($D$23*D$25^2) + (2*$E$23*D$25) + ($F$23*D$25^4) + (2*$G$23*D$25^2) + (2*$H$23*D$25^3)</f>
        <v>251507.75</v>
      </c>
      <c r="E59" s="18"/>
      <c r="F59" s="18"/>
      <c r="G59" s="18"/>
      <c r="H59" s="18"/>
      <c r="I59" s="18"/>
      <c r="J59" s="18"/>
      <c r="K59" s="18"/>
      <c r="L59" s="18"/>
    </row>
    <row r="60" spans="2:12">
      <c r="B60" s="17">
        <v>2</v>
      </c>
      <c r="C60" s="18">
        <f t="shared" ref="C60:K67" si="2">$C$23 + ($E$23*(C$25+$B60)) + ($D$23*C$25*$B60) + ($G$23*(C$25^2+$B60^2)) + ($H$23*((C$25*$B60^2)+(C$25^2*$B60))) + ($F$23*C$25^2*$B60^2)</f>
        <v>220345.84</v>
      </c>
      <c r="D60" s="18">
        <f t="shared" si="2"/>
        <v>219311.75999999998</v>
      </c>
      <c r="E60" s="18">
        <f>$B$55+$C$55 + ($D$55*E$57^2) + (2*$E$55*E$57) + ($F$55*E$57^4) + (2*$G$55*E$57^2) + (2*$H$55*E$57^3)</f>
        <v>235842.08000000002</v>
      </c>
      <c r="F60" s="18"/>
      <c r="G60" s="18"/>
      <c r="H60" s="18"/>
      <c r="I60" s="18"/>
      <c r="J60" s="18"/>
      <c r="K60" s="18"/>
      <c r="L60" s="18"/>
    </row>
    <row r="61" spans="2:12">
      <c r="B61" s="17">
        <v>3</v>
      </c>
      <c r="C61" s="18">
        <f t="shared" si="2"/>
        <v>204121.64</v>
      </c>
      <c r="D61" s="18">
        <f t="shared" si="2"/>
        <v>208679.99000000002</v>
      </c>
      <c r="E61" s="18">
        <f t="shared" si="2"/>
        <v>209042.8</v>
      </c>
      <c r="F61" s="18">
        <f>$B$55+$C$55 + ($D$55*F$57^2) + (2*$E$55*F$57) + ($F$55*F$57^4) + (2*$G$55*F$57^2) + (2*$H$55*F$57^3)</f>
        <v>225508.06999999998</v>
      </c>
      <c r="G61" s="18"/>
      <c r="H61" s="18"/>
      <c r="I61" s="18"/>
      <c r="J61" s="18"/>
      <c r="K61" s="18"/>
      <c r="L61" s="18"/>
    </row>
    <row r="62" spans="2:12">
      <c r="B62" s="17">
        <v>4</v>
      </c>
      <c r="C62" s="18">
        <f t="shared" si="2"/>
        <v>195701.36</v>
      </c>
      <c r="D62" s="18">
        <f t="shared" si="2"/>
        <v>199314.43999999997</v>
      </c>
      <c r="E62" s="18">
        <f>$C$23 + ($E$23*(E$25+$B62)) + ($D$23*E$25*$B62) + ($G$23*(E$25^2+$B62^2)) + ($H$23*((E$25*$B62^2)+(E$25^2*$B62))) + ($F$23*E$25^2*$B62^2)</f>
        <v>199807.91999999998</v>
      </c>
      <c r="F62" s="18">
        <f t="shared" si="2"/>
        <v>197181.8</v>
      </c>
      <c r="G62" s="18">
        <f>$B$55+$C$55 + ($D$55*G$57^2) + (2*$E$55*G$57) + ($F$55*G$57^4) + (2*$G$55*G$57^2) + (2*$H$55*G$57^3)</f>
        <v>211734.08000000002</v>
      </c>
      <c r="H62" s="18"/>
      <c r="I62" s="18"/>
      <c r="J62" s="18"/>
      <c r="K62" s="18"/>
      <c r="L62" s="18"/>
    </row>
    <row r="63" spans="2:12">
      <c r="B63" s="17">
        <v>5</v>
      </c>
      <c r="C63" s="18">
        <f t="shared" si="2"/>
        <v>195085</v>
      </c>
      <c r="D63" s="18">
        <f t="shared" si="2"/>
        <v>191215.11000000002</v>
      </c>
      <c r="E63" s="18">
        <f t="shared" si="2"/>
        <v>187839.43999999994</v>
      </c>
      <c r="F63" s="18">
        <f>$C$23 + ($E$23*(F$25+$B63)) + ($D$23*F$25*$B63) + ($G$23*(F$25^2+$B63^2)) + ($H$23*((F$25*$B63^2)+(F$25^2*$B63))) + ($F$23*F$25^2*$B63^2)</f>
        <v>184957.99</v>
      </c>
      <c r="G63" s="18">
        <f t="shared" si="2"/>
        <v>182570.76</v>
      </c>
      <c r="H63" s="18">
        <f>$B$55+$C$55 + ($D$55*H$57^2) + (2*$E$55*H$57) + ($F$55*H$57^4) + (2*$G$55*H$57^2) + (2*$H$55*H$57^3)</f>
        <v>200975.75</v>
      </c>
      <c r="I63" s="18"/>
      <c r="J63" s="18"/>
      <c r="K63" s="18"/>
      <c r="L63" s="18"/>
    </row>
    <row r="64" spans="2:12">
      <c r="B64" s="17">
        <v>6</v>
      </c>
      <c r="C64" s="18">
        <f>$B$23+$C$23 + ($D$23*C$25^2) + (2*$E$23*C$25) + ($F$23*C$25^4) + (2*$G$23*C$25^2) + (2*$H$23*C$25^3)</f>
        <v>296504</v>
      </c>
      <c r="D64" s="18">
        <f>$B$23+$C$23 + ($D$23*D$25^2) + (2*$E$23*D$25) + ($F$23*D$25^4) + (2*$G$23*D$25^2) + (2*$H$23*D$25^3)</f>
        <v>251507.75</v>
      </c>
      <c r="E64" s="18">
        <f t="shared" si="2"/>
        <v>173137.36</v>
      </c>
      <c r="F64" s="18">
        <f t="shared" si="2"/>
        <v>168538.6399999999</v>
      </c>
      <c r="G64" s="18">
        <f t="shared" si="2"/>
        <v>170585.84000000003</v>
      </c>
      <c r="H64" s="18">
        <f t="shared" si="2"/>
        <v>179278.95999999996</v>
      </c>
      <c r="I64" s="18">
        <f>$B$55+$C$55 + ($D$55*I$57^2) + (2*$E$55*I$57) + ($F$55*I$57^4) + (2*$G$55*I$57^2) + (2*$H$55*I$57^3)</f>
        <v>214916.00000000023</v>
      </c>
      <c r="J64" s="18"/>
      <c r="K64" s="18"/>
      <c r="L64" s="18"/>
    </row>
    <row r="65" spans="2:12">
      <c r="B65" s="17">
        <v>7</v>
      </c>
      <c r="C65" s="18">
        <f>$C$23 + ($E$23*(C$25+$B65)) + ($D$23*C$25*$B65) + ($G$23*(C$25^2+$B65^2)) + ($H$23*((C$25*$B65^2)+(C$25^2*$B65))) + ($F$23*C$25^2*$B65^2)</f>
        <v>217264.04</v>
      </c>
      <c r="D65" s="18">
        <f t="shared" si="2"/>
        <v>178815.11</v>
      </c>
      <c r="E65" s="18">
        <f t="shared" si="2"/>
        <v>155701.68</v>
      </c>
      <c r="F65" s="18">
        <f t="shared" si="2"/>
        <v>147923.74999999988</v>
      </c>
      <c r="G65" s="18">
        <f t="shared" si="2"/>
        <v>155481.32</v>
      </c>
      <c r="H65" s="18">
        <f t="shared" si="2"/>
        <v>178374.3899999999</v>
      </c>
      <c r="I65" s="18">
        <f t="shared" si="2"/>
        <v>216602.95999999996</v>
      </c>
      <c r="J65" s="18">
        <f>$B$55+$C$55 + ($D$55*J$57^2) + (2*$E$55*J$57) + ($F$55*J$57^4) + (2*$G$55*J$57^2) + (2*$H$55*J$57^3)</f>
        <v>290465.0299999998</v>
      </c>
      <c r="K65" s="18"/>
      <c r="L65" s="18"/>
    </row>
    <row r="66" spans="2:12">
      <c r="B66" s="17">
        <v>8</v>
      </c>
      <c r="C66" s="18">
        <f>$C$23 + ($E$23*(C$25+$B66)) + ($D$23*C$25*$B66) + ($G$23*(C$25^2+$B66^2)) + ($H$23*((C$25*$B66^2)+(C$25^2*$B66))) + ($F$23*C$25^2*$B66^2)</f>
        <v>240059.44</v>
      </c>
      <c r="D66" s="18">
        <f t="shared" si="2"/>
        <v>174514.44</v>
      </c>
      <c r="E66" s="18">
        <f t="shared" si="2"/>
        <v>135532.39999999997</v>
      </c>
      <c r="F66" s="18">
        <f t="shared" si="2"/>
        <v>123113.32</v>
      </c>
      <c r="G66" s="18">
        <f t="shared" si="2"/>
        <v>137257.19999999995</v>
      </c>
      <c r="H66" s="18">
        <f t="shared" si="2"/>
        <v>177964.0399999998</v>
      </c>
      <c r="I66" s="18">
        <f t="shared" si="2"/>
        <v>245233.84000000008</v>
      </c>
      <c r="J66" s="18">
        <f t="shared" si="2"/>
        <v>339066.59999999986</v>
      </c>
      <c r="K66" s="18">
        <f>$B$55+$C$55 + ($D$55*K$57^2) + (2*$E$55*K$57) + ($F$55*K$57^4) + (2*$G$55*K$57^2) + (2*$H$55*K$57^3)</f>
        <v>479760.31999999983</v>
      </c>
      <c r="L66" s="18"/>
    </row>
    <row r="67" spans="2:12">
      <c r="B67" s="17">
        <v>9</v>
      </c>
      <c r="C67" s="18">
        <f>$C$23 + ($E$23*(C$25+$B67)) + ($D$23*C$25*$B67) + ($G$23*(C$25^2+$B67^2)) + ($H$23*((C$25*$B67^2)+(C$25^2*$B67))) + ($F$23*C$25^2*$B67^2)</f>
        <v>270658.76</v>
      </c>
      <c r="D67" s="18">
        <f t="shared" si="2"/>
        <v>171479.99000000005</v>
      </c>
      <c r="E67" s="18">
        <f t="shared" si="2"/>
        <v>112629.51999999999</v>
      </c>
      <c r="F67" s="18">
        <f t="shared" si="2"/>
        <v>94107.349999999919</v>
      </c>
      <c r="G67" s="18">
        <f t="shared" si="2"/>
        <v>115913.4800000001</v>
      </c>
      <c r="H67" s="18">
        <f t="shared" si="2"/>
        <v>178047.90999999992</v>
      </c>
      <c r="I67" s="18">
        <f t="shared" si="2"/>
        <v>280510.64000000013</v>
      </c>
      <c r="J67" s="18">
        <f t="shared" si="2"/>
        <v>423301.67000000016</v>
      </c>
      <c r="K67" s="18">
        <f t="shared" si="2"/>
        <v>606420.99999999953</v>
      </c>
      <c r="L67" s="18">
        <f>$B$55+$C$55 + ($D$55*L$57^2) + (2*$E$55*L$57) + ($F$55*L$57^4) + (2*$G$55*L$57^2) + (2*$H$55*L$57^3)</f>
        <v>850166.62999999896</v>
      </c>
    </row>
    <row r="68" spans="2:12">
      <c r="C68" s="18"/>
      <c r="D68" s="18"/>
      <c r="E68" s="18"/>
      <c r="F68" s="18"/>
      <c r="G68" s="18"/>
      <c r="H68" s="18"/>
      <c r="I68" s="18"/>
      <c r="J68" s="18"/>
      <c r="K68" s="18"/>
      <c r="L68" s="18"/>
    </row>
    <row r="69" spans="2:12">
      <c r="B69" s="17" t="s">
        <v>30</v>
      </c>
      <c r="C69" s="18">
        <f>C58</f>
        <v>296504</v>
      </c>
      <c r="D69" s="18">
        <f>D59</f>
        <v>251507.75</v>
      </c>
      <c r="E69" s="18">
        <f>E60</f>
        <v>235842.08000000002</v>
      </c>
      <c r="F69" s="18">
        <f>F61</f>
        <v>225508.06999999998</v>
      </c>
      <c r="G69" s="18">
        <f>G62</f>
        <v>211734.08000000002</v>
      </c>
      <c r="H69" s="18">
        <f>H63</f>
        <v>200975.75</v>
      </c>
      <c r="I69" s="18">
        <f>I64</f>
        <v>214916.00000000023</v>
      </c>
      <c r="J69" s="18">
        <f>J65</f>
        <v>290465.0299999998</v>
      </c>
      <c r="K69" s="18">
        <f>K66</f>
        <v>479760.31999999983</v>
      </c>
      <c r="L69" s="18">
        <f>L67</f>
        <v>850166.62999999896</v>
      </c>
    </row>
  </sheetData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47"/>
  <sheetViews>
    <sheetView tabSelected="1" workbookViewId="0">
      <selection activeCell="B31" sqref="B31"/>
    </sheetView>
  </sheetViews>
  <sheetFormatPr defaultRowHeight="14.3"/>
  <cols>
    <col min="1" max="1" width="35.625" style="20" customWidth="1"/>
    <col min="2" max="2" width="11.875" style="20" customWidth="1"/>
    <col min="3" max="3" width="9.875" style="20" customWidth="1"/>
    <col min="4" max="4" width="9.5" style="20" customWidth="1"/>
    <col min="5" max="5" width="9.625" style="20" customWidth="1"/>
    <col min="6" max="6" width="12.625" style="20" customWidth="1"/>
    <col min="7" max="7" width="7.375" style="20" customWidth="1"/>
    <col min="8" max="8" width="10.875" style="37" customWidth="1"/>
    <col min="9" max="16384" width="9" style="20"/>
  </cols>
  <sheetData>
    <row r="1" spans="1:9" ht="30.6" customHeight="1">
      <c r="A1" s="38" t="s">
        <v>32</v>
      </c>
      <c r="B1" s="38"/>
      <c r="C1" s="38"/>
      <c r="D1" s="38"/>
      <c r="E1" s="38"/>
      <c r="F1" s="38"/>
      <c r="G1" s="38"/>
      <c r="H1" s="38"/>
    </row>
    <row r="2" spans="1:9" ht="31.95" customHeight="1">
      <c r="A2" s="29" t="s">
        <v>0</v>
      </c>
      <c r="B2" s="29" t="s">
        <v>33</v>
      </c>
      <c r="C2" s="29" t="s">
        <v>12</v>
      </c>
      <c r="D2" s="29" t="s">
        <v>13</v>
      </c>
      <c r="E2" s="29" t="s">
        <v>34</v>
      </c>
      <c r="F2" s="29" t="s">
        <v>35</v>
      </c>
      <c r="G2" s="29" t="s">
        <v>36</v>
      </c>
      <c r="H2" s="33" t="s">
        <v>50</v>
      </c>
      <c r="I2" s="21"/>
    </row>
    <row r="3" spans="1:9">
      <c r="A3" s="31"/>
      <c r="B3" s="31"/>
      <c r="C3" s="31"/>
      <c r="D3" s="31"/>
      <c r="E3" s="31"/>
      <c r="F3" s="31"/>
      <c r="G3" s="31"/>
      <c r="H3" s="34"/>
      <c r="I3" s="21"/>
    </row>
    <row r="4" spans="1:9">
      <c r="A4" s="21" t="s">
        <v>47</v>
      </c>
      <c r="B4" s="21"/>
      <c r="C4" s="21"/>
      <c r="D4" s="21"/>
      <c r="E4" s="21"/>
      <c r="F4" s="21"/>
      <c r="G4" s="21"/>
      <c r="H4" s="35"/>
      <c r="I4" s="21"/>
    </row>
    <row r="5" spans="1:9">
      <c r="A5" s="26" t="s">
        <v>38</v>
      </c>
      <c r="B5" s="27">
        <v>8414.7000000000007</v>
      </c>
      <c r="C5" s="27">
        <v>8418.7000000000007</v>
      </c>
      <c r="D5" s="27">
        <v>8423.9</v>
      </c>
      <c r="E5" s="23">
        <v>4</v>
      </c>
      <c r="F5" s="22"/>
      <c r="G5" s="23"/>
      <c r="H5" s="36"/>
    </row>
    <row r="6" spans="1:9">
      <c r="A6" s="26" t="s">
        <v>39</v>
      </c>
      <c r="B6" s="27">
        <v>8372.1</v>
      </c>
      <c r="C6" s="27">
        <v>8380.1</v>
      </c>
      <c r="D6" s="27">
        <v>8390.6</v>
      </c>
      <c r="E6" s="23">
        <v>6</v>
      </c>
    </row>
    <row r="7" spans="1:9">
      <c r="A7" s="30" t="s">
        <v>51</v>
      </c>
      <c r="B7" s="27"/>
      <c r="C7" s="27"/>
      <c r="D7" s="27"/>
      <c r="E7" s="23"/>
      <c r="F7" s="27">
        <f>ABS(B5-B6)</f>
        <v>42.600000000000364</v>
      </c>
      <c r="G7" s="23">
        <f>ABS(E5-E6)</f>
        <v>2</v>
      </c>
      <c r="H7" s="36">
        <f>CHIDIST(F7,G7)</f>
        <v>5.6172989246506203E-10</v>
      </c>
    </row>
    <row r="8" spans="1:9">
      <c r="B8" s="27"/>
      <c r="C8" s="27"/>
      <c r="D8" s="27"/>
      <c r="E8" s="23"/>
      <c r="F8" s="27"/>
      <c r="G8" s="23"/>
      <c r="H8" s="36"/>
    </row>
    <row r="9" spans="1:9">
      <c r="A9" s="26" t="s">
        <v>40</v>
      </c>
      <c r="B9" s="27">
        <v>8341.5</v>
      </c>
      <c r="C9" s="27">
        <v>8349.5</v>
      </c>
      <c r="D9" s="27">
        <v>8359.9</v>
      </c>
      <c r="E9" s="24">
        <v>7</v>
      </c>
      <c r="F9" s="27"/>
      <c r="G9" s="23"/>
      <c r="H9" s="36"/>
    </row>
    <row r="10" spans="1:9">
      <c r="A10" s="26" t="s">
        <v>41</v>
      </c>
      <c r="B10" s="27">
        <v>8302.7000000000007</v>
      </c>
      <c r="C10" s="27">
        <v>8316.7000000000007</v>
      </c>
      <c r="D10" s="27">
        <v>8335.1</v>
      </c>
      <c r="E10" s="23">
        <v>10</v>
      </c>
      <c r="F10" s="27"/>
      <c r="G10" s="23"/>
      <c r="H10" s="36"/>
    </row>
    <row r="11" spans="1:9">
      <c r="A11" s="32" t="s">
        <v>52</v>
      </c>
      <c r="B11" s="27"/>
      <c r="C11" s="27"/>
      <c r="D11" s="27"/>
      <c r="E11" s="23"/>
      <c r="F11" s="27">
        <f>ABS(B9-B10)</f>
        <v>38.799999999999272</v>
      </c>
      <c r="G11" s="23">
        <f>ABS(E9-E10)</f>
        <v>3</v>
      </c>
      <c r="H11" s="36">
        <f>CHIDIST(F11,G11)</f>
        <v>1.9135171682369657E-8</v>
      </c>
    </row>
    <row r="12" spans="1:9">
      <c r="A12" s="30"/>
      <c r="B12" s="27"/>
      <c r="C12" s="27"/>
      <c r="D12" s="27"/>
      <c r="E12" s="23"/>
      <c r="F12" s="27"/>
      <c r="G12" s="23"/>
      <c r="H12" s="36"/>
    </row>
    <row r="13" spans="1:9">
      <c r="A13" s="39" t="s">
        <v>58</v>
      </c>
      <c r="B13" s="27">
        <v>8302.7000000000007</v>
      </c>
      <c r="C13" s="27">
        <v>8316.7000000000007</v>
      </c>
      <c r="D13" s="27">
        <v>8335.1</v>
      </c>
      <c r="E13" s="23">
        <v>10</v>
      </c>
      <c r="F13" s="27"/>
      <c r="G13" s="23"/>
      <c r="H13" s="36"/>
    </row>
    <row r="14" spans="1:9">
      <c r="A14" s="39" t="s">
        <v>59</v>
      </c>
      <c r="B14" s="27">
        <v>8300.7000000000007</v>
      </c>
      <c r="C14" s="27">
        <v>8316.7000000000007</v>
      </c>
      <c r="D14" s="27">
        <v>8337.6</v>
      </c>
      <c r="E14" s="23">
        <v>11</v>
      </c>
      <c r="F14" s="27"/>
      <c r="G14" s="23"/>
      <c r="H14" s="36"/>
    </row>
    <row r="15" spans="1:9">
      <c r="A15" s="40" t="s">
        <v>60</v>
      </c>
      <c r="B15" s="27"/>
      <c r="C15" s="27"/>
      <c r="D15" s="27"/>
      <c r="E15" s="23"/>
      <c r="F15" s="27">
        <f>ABS(B13-B14)</f>
        <v>2</v>
      </c>
      <c r="G15" s="23">
        <f>ABS(E13-E14)</f>
        <v>1</v>
      </c>
      <c r="H15" s="36">
        <f>CHIDIST(F15,G15)</f>
        <v>0.15729926482544482</v>
      </c>
    </row>
    <row r="16" spans="1:9">
      <c r="A16" s="32"/>
      <c r="B16" s="27"/>
      <c r="C16" s="27"/>
      <c r="D16" s="27"/>
      <c r="E16" s="23"/>
      <c r="F16" s="27"/>
      <c r="G16" s="23"/>
      <c r="H16" s="36"/>
    </row>
    <row r="17" spans="1:8">
      <c r="A17" s="39" t="s">
        <v>58</v>
      </c>
      <c r="B17" s="27">
        <v>8302.7000000000007</v>
      </c>
      <c r="C17" s="27">
        <v>8316.7000000000007</v>
      </c>
      <c r="D17" s="27">
        <v>8335.1</v>
      </c>
      <c r="E17" s="23">
        <v>10</v>
      </c>
      <c r="F17" s="27"/>
      <c r="G17" s="23"/>
      <c r="H17" s="36"/>
    </row>
    <row r="18" spans="1:8">
      <c r="A18" s="39" t="s">
        <v>61</v>
      </c>
      <c r="B18" s="27">
        <v>8300.9</v>
      </c>
      <c r="C18" s="27">
        <v>8316.9</v>
      </c>
      <c r="D18" s="27">
        <v>8337.7999999999993</v>
      </c>
      <c r="E18" s="23">
        <v>11</v>
      </c>
      <c r="F18" s="27"/>
      <c r="G18" s="23"/>
      <c r="H18" s="36"/>
    </row>
    <row r="19" spans="1:8">
      <c r="A19" s="40" t="s">
        <v>62</v>
      </c>
      <c r="B19" s="27"/>
      <c r="C19" s="27"/>
      <c r="D19" s="27"/>
      <c r="E19" s="23"/>
      <c r="F19" s="27">
        <f>ABS(B17-B18)</f>
        <v>1.8000000000010914</v>
      </c>
      <c r="G19" s="23">
        <f>ABS(E17-E18)</f>
        <v>1</v>
      </c>
      <c r="H19" s="36">
        <f>CHIDIST(F19,G19)</f>
        <v>0.17971258666779052</v>
      </c>
    </row>
    <row r="20" spans="1:8">
      <c r="A20" s="32"/>
      <c r="B20" s="27"/>
      <c r="C20" s="27"/>
      <c r="D20" s="27"/>
      <c r="E20" s="23"/>
      <c r="F20" s="27"/>
      <c r="G20" s="23"/>
      <c r="H20" s="36"/>
    </row>
    <row r="21" spans="1:8">
      <c r="A21" s="21" t="s">
        <v>48</v>
      </c>
    </row>
    <row r="22" spans="1:8">
      <c r="A22" s="39" t="s">
        <v>65</v>
      </c>
      <c r="B22" s="27">
        <v>8382.7000000000007</v>
      </c>
      <c r="C22" s="27">
        <v>8386.7000000000007</v>
      </c>
      <c r="D22" s="27">
        <v>8391.9</v>
      </c>
      <c r="E22" s="23">
        <v>5</v>
      </c>
      <c r="F22" s="22"/>
      <c r="G22" s="23"/>
      <c r="H22" s="36"/>
    </row>
    <row r="23" spans="1:8">
      <c r="A23" s="39" t="s">
        <v>66</v>
      </c>
      <c r="B23" s="27">
        <v>8319.6</v>
      </c>
      <c r="C23" s="27">
        <v>8327.6</v>
      </c>
      <c r="D23" s="27">
        <v>8338.1</v>
      </c>
      <c r="E23" s="23">
        <v>7</v>
      </c>
      <c r="F23" s="27"/>
      <c r="G23" s="23"/>
      <c r="H23" s="36"/>
    </row>
    <row r="24" spans="1:8">
      <c r="A24" s="40" t="s">
        <v>68</v>
      </c>
      <c r="B24" s="27"/>
      <c r="C24" s="27"/>
      <c r="D24" s="27"/>
      <c r="E24" s="23"/>
      <c r="F24" s="27">
        <f>ABS(B22-B23)</f>
        <v>63.100000000000364</v>
      </c>
      <c r="G24" s="23">
        <f>ABS(E22-E23)</f>
        <v>2</v>
      </c>
      <c r="H24" s="36">
        <f>CHIDIST(F24,G24)</f>
        <v>1.9861365150534089E-14</v>
      </c>
    </row>
    <row r="25" spans="1:8">
      <c r="A25" s="28"/>
      <c r="B25" s="27"/>
      <c r="C25" s="27"/>
      <c r="D25" s="27"/>
      <c r="E25" s="23"/>
      <c r="F25" s="27"/>
      <c r="G25" s="23"/>
      <c r="H25" s="36"/>
    </row>
    <row r="26" spans="1:8">
      <c r="A26" s="39" t="s">
        <v>66</v>
      </c>
      <c r="B26" s="27">
        <v>8319.6</v>
      </c>
      <c r="C26" s="27">
        <v>8327.6</v>
      </c>
      <c r="D26" s="27">
        <v>8338.1</v>
      </c>
      <c r="E26" s="23">
        <v>7</v>
      </c>
      <c r="F26" s="27"/>
      <c r="G26" s="23"/>
      <c r="H26" s="36"/>
    </row>
    <row r="27" spans="1:8">
      <c r="A27" s="39" t="s">
        <v>67</v>
      </c>
      <c r="B27" s="27">
        <v>8275.4</v>
      </c>
      <c r="C27" s="27">
        <v>8289.4</v>
      </c>
      <c r="D27" s="27">
        <v>8307.7000000000007</v>
      </c>
      <c r="E27" s="23">
        <v>10</v>
      </c>
      <c r="F27" s="27"/>
      <c r="G27" s="23"/>
      <c r="H27" s="36"/>
    </row>
    <row r="28" spans="1:8">
      <c r="A28" s="40" t="s">
        <v>69</v>
      </c>
      <c r="B28" s="27"/>
      <c r="C28" s="27"/>
      <c r="D28" s="27"/>
      <c r="E28" s="23"/>
      <c r="F28" s="27">
        <f>ABS(B26-B27)</f>
        <v>44.200000000000728</v>
      </c>
      <c r="G28" s="23">
        <f>ABS(E26-E27)</f>
        <v>3</v>
      </c>
      <c r="H28" s="36">
        <f>CHIDIST(F28,G28)</f>
        <v>1.3685327269152199E-9</v>
      </c>
    </row>
    <row r="30" spans="1:8">
      <c r="A30" s="39" t="s">
        <v>70</v>
      </c>
      <c r="B30" s="27">
        <v>8382.7000000000007</v>
      </c>
      <c r="C30" s="27">
        <v>8386.7000000000007</v>
      </c>
      <c r="D30" s="27">
        <v>8391.9</v>
      </c>
      <c r="E30" s="23">
        <v>5</v>
      </c>
      <c r="F30" s="22"/>
      <c r="G30" s="23"/>
      <c r="H30" s="36"/>
    </row>
    <row r="31" spans="1:8">
      <c r="A31" s="39" t="s">
        <v>71</v>
      </c>
      <c r="B31" s="27">
        <v>8333.4</v>
      </c>
      <c r="C31" s="27">
        <v>8341.4</v>
      </c>
      <c r="D31" s="27">
        <v>8351.7999999999993</v>
      </c>
      <c r="E31" s="23">
        <v>7</v>
      </c>
      <c r="F31" s="27"/>
      <c r="G31" s="23"/>
      <c r="H31" s="36"/>
    </row>
    <row r="32" spans="1:8">
      <c r="A32" s="40" t="s">
        <v>72</v>
      </c>
      <c r="B32" s="27"/>
      <c r="C32" s="27"/>
      <c r="D32" s="27"/>
      <c r="E32" s="23"/>
      <c r="F32" s="27">
        <f>ABS(B30-B31)</f>
        <v>49.300000000001091</v>
      </c>
      <c r="G32" s="23">
        <f>ABS(E30-E31)</f>
        <v>2</v>
      </c>
      <c r="H32" s="36">
        <f>CHIDIST(F32,G32)</f>
        <v>1.9707930456266631E-11</v>
      </c>
    </row>
    <row r="33" spans="1:8">
      <c r="A33" s="28"/>
      <c r="B33" s="27"/>
      <c r="C33" s="27"/>
      <c r="D33" s="27"/>
      <c r="E33" s="23"/>
      <c r="F33" s="27"/>
      <c r="G33" s="23"/>
      <c r="H33" s="36"/>
    </row>
    <row r="34" spans="1:8">
      <c r="A34" s="39" t="s">
        <v>71</v>
      </c>
      <c r="B34" s="27">
        <v>8333.4</v>
      </c>
      <c r="C34" s="27">
        <v>8341.4</v>
      </c>
      <c r="D34" s="27">
        <v>8351.7999999999993</v>
      </c>
      <c r="E34" s="23">
        <v>7</v>
      </c>
      <c r="F34" s="27"/>
      <c r="G34" s="23"/>
      <c r="H34" s="36"/>
    </row>
    <row r="35" spans="1:8">
      <c r="A35" s="39" t="s">
        <v>73</v>
      </c>
      <c r="B35" s="27">
        <v>8275.4</v>
      </c>
      <c r="C35" s="27">
        <v>8289.4</v>
      </c>
      <c r="D35" s="27">
        <v>8307.7000000000007</v>
      </c>
      <c r="E35" s="23">
        <v>10</v>
      </c>
      <c r="F35" s="27"/>
      <c r="G35" s="23"/>
      <c r="H35" s="36"/>
    </row>
    <row r="36" spans="1:8">
      <c r="A36" s="40" t="s">
        <v>74</v>
      </c>
      <c r="B36" s="27"/>
      <c r="C36" s="27"/>
      <c r="D36" s="27"/>
      <c r="E36" s="23"/>
      <c r="F36" s="27">
        <f>ABS(B34-B35)</f>
        <v>58</v>
      </c>
      <c r="G36" s="23">
        <f>ABS(E34-E35)</f>
        <v>3</v>
      </c>
      <c r="H36" s="36">
        <f>CHIDIST(F36,G36)</f>
        <v>1.571872187635827E-12</v>
      </c>
    </row>
    <row r="38" spans="1:8">
      <c r="A38" s="25" t="s">
        <v>37</v>
      </c>
    </row>
    <row r="39" spans="1:8">
      <c r="A39" s="25"/>
    </row>
    <row r="40" spans="1:8">
      <c r="A40" s="21" t="s">
        <v>77</v>
      </c>
    </row>
    <row r="41" spans="1:8">
      <c r="A41" s="39" t="s">
        <v>82</v>
      </c>
      <c r="B41" s="27">
        <v>9213.2000000000007</v>
      </c>
      <c r="C41" s="27">
        <v>9221.2000000000007</v>
      </c>
      <c r="D41" s="27">
        <v>9338.7999999999993</v>
      </c>
      <c r="E41" s="23">
        <v>4</v>
      </c>
      <c r="F41" s="22"/>
      <c r="G41" s="23"/>
      <c r="H41" s="36"/>
    </row>
    <row r="42" spans="1:8">
      <c r="A42" s="39" t="s">
        <v>83</v>
      </c>
      <c r="B42" s="27">
        <v>8404</v>
      </c>
      <c r="C42" s="27">
        <v>8414</v>
      </c>
      <c r="D42" s="27">
        <v>8427.1</v>
      </c>
      <c r="E42" s="23">
        <v>5</v>
      </c>
      <c r="F42" s="27"/>
      <c r="G42" s="23"/>
      <c r="H42" s="36"/>
    </row>
    <row r="43" spans="1:8">
      <c r="A43" s="40" t="s">
        <v>84</v>
      </c>
      <c r="B43" s="27"/>
      <c r="C43" s="27"/>
      <c r="D43" s="27"/>
      <c r="E43" s="23"/>
      <c r="F43" s="27">
        <f>ABS(B41-B42)</f>
        <v>809.20000000000073</v>
      </c>
      <c r="G43" s="23">
        <f>ABS(E41-E42)</f>
        <v>1</v>
      </c>
      <c r="H43" s="36">
        <f>CHIDIST(F43,G43)</f>
        <v>5.3929910349836564E-178</v>
      </c>
    </row>
    <row r="44" spans="1:8">
      <c r="A44" s="28"/>
      <c r="B44" s="27"/>
      <c r="C44" s="27"/>
      <c r="D44" s="27"/>
      <c r="E44" s="23"/>
      <c r="F44" s="27"/>
      <c r="G44" s="23"/>
      <c r="H44" s="36"/>
    </row>
    <row r="45" spans="1:8">
      <c r="A45" s="39" t="s">
        <v>83</v>
      </c>
      <c r="B45" s="27">
        <v>8404</v>
      </c>
      <c r="C45" s="27">
        <v>8414</v>
      </c>
      <c r="D45" s="27">
        <v>8427.1</v>
      </c>
      <c r="E45" s="23">
        <v>5</v>
      </c>
      <c r="F45" s="27"/>
      <c r="G45" s="23"/>
      <c r="H45" s="36"/>
    </row>
    <row r="46" spans="1:8">
      <c r="A46" s="39" t="s">
        <v>85</v>
      </c>
      <c r="B46" s="27">
        <v>8327.2999999999993</v>
      </c>
      <c r="C46" s="27">
        <v>8341.2999999999993</v>
      </c>
      <c r="D46" s="27">
        <v>8359.6</v>
      </c>
      <c r="E46" s="23">
        <v>7</v>
      </c>
      <c r="F46" s="27"/>
      <c r="G46" s="23"/>
      <c r="H46" s="36"/>
    </row>
    <row r="47" spans="1:8">
      <c r="A47" s="40" t="s">
        <v>86</v>
      </c>
      <c r="B47" s="27"/>
      <c r="C47" s="27"/>
      <c r="D47" s="27"/>
      <c r="E47" s="23"/>
      <c r="F47" s="27">
        <f>ABS(B45-B46)</f>
        <v>76.700000000000728</v>
      </c>
      <c r="G47" s="23">
        <f>ABS(E45-E46)</f>
        <v>2</v>
      </c>
      <c r="H47" s="36">
        <f>CHIDIST(F47,G47)</f>
        <v>2.2121094906931666E-17</v>
      </c>
    </row>
  </sheetData>
  <mergeCells count="1">
    <mergeCell ref="A1:H1"/>
  </mergeCells>
  <pageMargins left="0.7" right="0.7" top="0.75" bottom="0.75" header="0.3" footer="0.3"/>
  <pageSetup orientation="portrait" horizontalDpi="1200" verticalDpi="1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G26"/>
  <sheetViews>
    <sheetView workbookViewId="0">
      <selection activeCell="D22" sqref="D22"/>
    </sheetView>
  </sheetViews>
  <sheetFormatPr defaultRowHeight="14.3"/>
  <cols>
    <col min="1" max="1" width="22.5" customWidth="1"/>
    <col min="2" max="2" width="10.5" customWidth="1"/>
    <col min="3" max="3" width="10.5" bestFit="1" customWidth="1"/>
    <col min="4" max="4" width="16.5" customWidth="1"/>
    <col min="5" max="5" width="10" customWidth="1"/>
  </cols>
  <sheetData>
    <row r="1" spans="1:7">
      <c r="A1" s="1" t="s">
        <v>87</v>
      </c>
      <c r="B1" s="1"/>
    </row>
    <row r="3" spans="1:7">
      <c r="A3" s="2" t="s">
        <v>0</v>
      </c>
      <c r="B3" s="2" t="s">
        <v>1</v>
      </c>
      <c r="C3" s="2" t="s">
        <v>3</v>
      </c>
      <c r="D3" s="2" t="s">
        <v>2</v>
      </c>
      <c r="E3" s="2" t="s">
        <v>4</v>
      </c>
      <c r="F3" s="2" t="s">
        <v>6</v>
      </c>
      <c r="G3" s="2" t="s">
        <v>7</v>
      </c>
    </row>
    <row r="5" spans="1:7">
      <c r="A5" t="s">
        <v>9</v>
      </c>
      <c r="B5" t="s">
        <v>5</v>
      </c>
      <c r="C5">
        <v>1945.85</v>
      </c>
      <c r="D5">
        <v>276206</v>
      </c>
      <c r="E5" s="3">
        <f>1.96*SQRT(D5)</f>
        <v>1030.0839624030655</v>
      </c>
      <c r="F5" s="3">
        <f xml:space="preserve"> C5-E5</f>
        <v>915.76603759693444</v>
      </c>
      <c r="G5" s="3">
        <f>C5+E5</f>
        <v>2975.9339624030654</v>
      </c>
    </row>
    <row r="6" spans="1:7">
      <c r="B6" t="s">
        <v>8</v>
      </c>
      <c r="C6">
        <v>-120.9</v>
      </c>
      <c r="D6">
        <v>25840</v>
      </c>
      <c r="E6" s="3">
        <f>1.96*SQRT(D6)</f>
        <v>315.06657074339068</v>
      </c>
      <c r="F6" s="3">
        <f xml:space="preserve"> C6-E6</f>
        <v>-435.96657074339066</v>
      </c>
      <c r="G6" s="3">
        <f>C6+E6</f>
        <v>194.16657074339068</v>
      </c>
    </row>
    <row r="7" spans="1:7">
      <c r="B7" t="s">
        <v>10</v>
      </c>
      <c r="C7">
        <v>13.865600000000001</v>
      </c>
      <c r="D7">
        <v>634.47</v>
      </c>
      <c r="E7" s="3">
        <f>1.96*SQRT(D7)</f>
        <v>49.369828357003634</v>
      </c>
      <c r="F7" s="3">
        <f xml:space="preserve"> C7-E7</f>
        <v>-35.504228357003633</v>
      </c>
      <c r="G7" s="3">
        <f>C7+E7</f>
        <v>63.235428357003634</v>
      </c>
    </row>
    <row r="8" spans="1:7">
      <c r="E8" s="3"/>
      <c r="F8" s="3"/>
      <c r="G8" s="3"/>
    </row>
    <row r="9" spans="1:7">
      <c r="A9" t="s">
        <v>11</v>
      </c>
      <c r="B9" t="s">
        <v>5</v>
      </c>
      <c r="C9">
        <v>1687.99</v>
      </c>
      <c r="D9">
        <v>180678</v>
      </c>
      <c r="E9" s="3">
        <f>1.96*SQRT(D9)</f>
        <v>833.12220280100564</v>
      </c>
      <c r="F9" s="3">
        <f xml:space="preserve"> C9-E9</f>
        <v>854.86779719899437</v>
      </c>
      <c r="G9" s="3">
        <f>C9+E9</f>
        <v>2521.1122028010059</v>
      </c>
    </row>
    <row r="10" spans="1:7">
      <c r="B10" t="s">
        <v>8</v>
      </c>
      <c r="C10">
        <v>17.7562</v>
      </c>
      <c r="D10">
        <v>11224</v>
      </c>
      <c r="E10" s="3">
        <f>1.96*SQRT(D10)</f>
        <v>207.64902696617673</v>
      </c>
      <c r="F10" s="3">
        <f xml:space="preserve"> C10-E10</f>
        <v>-189.89282696617673</v>
      </c>
      <c r="G10" s="3">
        <f>C10+E10</f>
        <v>225.40522696617674</v>
      </c>
    </row>
    <row r="11" spans="1:7">
      <c r="B11" t="s">
        <v>10</v>
      </c>
      <c r="C11">
        <v>13.865600000000001</v>
      </c>
      <c r="D11">
        <v>634.47</v>
      </c>
      <c r="E11" s="3">
        <f>1.96*SQRT(D11)</f>
        <v>49.369828357003634</v>
      </c>
      <c r="F11" s="3">
        <f xml:space="preserve"> C11-E11</f>
        <v>-35.504228357003633</v>
      </c>
      <c r="G11" s="3">
        <f>C11+E11</f>
        <v>63.235428357003634</v>
      </c>
    </row>
    <row r="12" spans="1:7">
      <c r="E12" s="3"/>
      <c r="F12" s="3"/>
      <c r="G12" s="3"/>
    </row>
    <row r="13" spans="1:7">
      <c r="A13" t="s">
        <v>44</v>
      </c>
      <c r="B13" t="s">
        <v>5</v>
      </c>
      <c r="C13">
        <v>1961.89</v>
      </c>
      <c r="D13">
        <v>284312</v>
      </c>
      <c r="E13" s="3">
        <f>1.96*SQRT(D13)</f>
        <v>1045.0899383306682</v>
      </c>
      <c r="F13" s="3">
        <f xml:space="preserve"> C13-E13</f>
        <v>916.80006166933185</v>
      </c>
      <c r="G13" s="3">
        <f>C13+E13</f>
        <v>3006.9799383306681</v>
      </c>
    </row>
    <row r="14" spans="1:7">
      <c r="B14" t="s">
        <v>42</v>
      </c>
      <c r="C14">
        <v>-163.63999999999999</v>
      </c>
      <c r="D14">
        <v>63954</v>
      </c>
      <c r="E14" s="3">
        <f>1.96*SQRT(D14)</f>
        <v>495.66691073744272</v>
      </c>
      <c r="F14" s="3">
        <f xml:space="preserve"> C14-E14</f>
        <v>-659.30691073744265</v>
      </c>
      <c r="G14" s="3">
        <f>C14+E14</f>
        <v>332.02691073744273</v>
      </c>
    </row>
    <row r="15" spans="1:7">
      <c r="B15" t="s">
        <v>43</v>
      </c>
      <c r="C15">
        <v>-32.8932</v>
      </c>
      <c r="D15">
        <v>2617.2800000000002</v>
      </c>
      <c r="E15" s="3">
        <f>1.96*SQRT(D15)</f>
        <v>100.27234338540214</v>
      </c>
      <c r="F15" s="3">
        <f xml:space="preserve"> C15-E15</f>
        <v>-133.16554338540215</v>
      </c>
      <c r="G15" s="3">
        <f>C15+E15</f>
        <v>67.379143385402131</v>
      </c>
    </row>
    <row r="16" spans="1:7">
      <c r="E16" s="3"/>
      <c r="F16" s="3"/>
      <c r="G16" s="3"/>
    </row>
    <row r="17" spans="1:7">
      <c r="A17" t="s">
        <v>45</v>
      </c>
      <c r="B17" t="s">
        <v>5</v>
      </c>
      <c r="C17">
        <v>1961.89</v>
      </c>
      <c r="D17">
        <v>284312</v>
      </c>
      <c r="E17" s="3">
        <f>1.96*SQRT(D17)</f>
        <v>1045.0899383306682</v>
      </c>
      <c r="F17" s="3">
        <f xml:space="preserve"> C17-E17</f>
        <v>916.80006166933185</v>
      </c>
      <c r="G17" s="3">
        <f>C17+E17</f>
        <v>3006.9799383306681</v>
      </c>
    </row>
    <row r="18" spans="1:7">
      <c r="B18" t="s">
        <v>46</v>
      </c>
      <c r="C18">
        <v>-163.63999999999999</v>
      </c>
      <c r="D18">
        <v>63954</v>
      </c>
      <c r="E18" s="3">
        <f>1.96*SQRT(D18)</f>
        <v>495.66691073744272</v>
      </c>
      <c r="F18" s="3">
        <f xml:space="preserve"> C18-E18</f>
        <v>-659.30691073744265</v>
      </c>
      <c r="G18" s="3">
        <f>C18+E18</f>
        <v>332.02691073744273</v>
      </c>
    </row>
    <row r="19" spans="1:7">
      <c r="B19" t="s">
        <v>43</v>
      </c>
      <c r="C19">
        <v>130.75</v>
      </c>
      <c r="D19">
        <v>69916</v>
      </c>
      <c r="E19" s="3">
        <f>1.96*SQRT(D19)</f>
        <v>518.25602321632505</v>
      </c>
      <c r="F19" s="3">
        <f xml:space="preserve"> C19-E19</f>
        <v>-387.50602321632505</v>
      </c>
      <c r="G19" s="3">
        <f>C19+E19</f>
        <v>649.00602321632505</v>
      </c>
    </row>
    <row r="20" spans="1:7">
      <c r="E20" s="3"/>
      <c r="F20" s="3"/>
      <c r="G20" s="3"/>
    </row>
    <row r="21" spans="1:7">
      <c r="A21" s="41" t="s">
        <v>88</v>
      </c>
      <c r="B21" t="s">
        <v>78</v>
      </c>
      <c r="C21">
        <v>1683.5</v>
      </c>
      <c r="D21">
        <v>190823</v>
      </c>
      <c r="E21" s="3">
        <f>1.96*SQRT(D21)</f>
        <v>856.19252320958742</v>
      </c>
      <c r="F21" s="3">
        <f xml:space="preserve"> C21-E21</f>
        <v>827.30747679041258</v>
      </c>
      <c r="G21" s="3">
        <f>C21+E21</f>
        <v>2539.6925232095873</v>
      </c>
    </row>
    <row r="22" spans="1:7">
      <c r="A22" s="41"/>
      <c r="B22" t="s">
        <v>79</v>
      </c>
      <c r="C22">
        <v>279.89999999999998</v>
      </c>
      <c r="D22">
        <v>77254</v>
      </c>
      <c r="E22" s="3">
        <f>1.96*SQRT(D22)</f>
        <v>544.77423433932699</v>
      </c>
      <c r="F22" s="3">
        <f xml:space="preserve"> C22-E22</f>
        <v>-264.87423433932702</v>
      </c>
      <c r="G22" s="3">
        <f>C22+E22</f>
        <v>824.67423433932697</v>
      </c>
    </row>
    <row r="24" spans="1:7">
      <c r="E24" s="3"/>
      <c r="F24" s="3"/>
      <c r="G24" s="3"/>
    </row>
    <row r="25" spans="1:7">
      <c r="E25" s="3"/>
      <c r="F25" s="3"/>
      <c r="G25" s="3"/>
    </row>
    <row r="26" spans="1:7">
      <c r="E26" s="3"/>
      <c r="F26" s="3"/>
      <c r="G26" s="3"/>
    </row>
  </sheetData>
  <mergeCells count="1">
    <mergeCell ref="A21:A22"/>
  </mergeCells>
  <phoneticPr fontId="5" type="noConversion"/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Means Data</vt:lpstr>
      <vt:lpstr>Variances Data</vt:lpstr>
      <vt:lpstr>Deviance Comparisons</vt:lpstr>
      <vt:lpstr>Random Effects CIs</vt:lpstr>
    </vt:vector>
  </TitlesOfParts>
  <Company>UNL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Lesa Hoffman</dc:creator>
  <cp:lastModifiedBy>Lesa Hoffman</cp:lastModifiedBy>
  <dcterms:created xsi:type="dcterms:W3CDTF">2008-10-06T13:53:08Z</dcterms:created>
  <dcterms:modified xsi:type="dcterms:W3CDTF">2013-02-07T21:42:57Z</dcterms:modified>
</cp:coreProperties>
</file>