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drawings/drawing3.xml" ContentType="application/vnd.openxmlformats-officedocument.drawingml.chartshapes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1_PSQF7375_Longitudinal\PSQF7375_Longitudinal_Example6\"/>
    </mc:Choice>
  </mc:AlternateContent>
  <xr:revisionPtr revIDLastSave="0" documentId="13_ncr:1_{E57409E3-41F4-47C9-A69B-7A700618A611}" xr6:coauthVersionLast="45" xr6:coauthVersionMax="45" xr10:uidLastSave="{00000000-0000-0000-0000-000000000000}"/>
  <bookViews>
    <workbookView xWindow="28308" yWindow="2196" windowWidth="21540" windowHeight="17532" tabRatio="913" firstSheet="1" activeTab="1" xr2:uid="{00000000-000D-0000-FFFF-FFFF00000000}"/>
  </bookViews>
  <sheets>
    <sheet name="Log Time" sheetId="5" r:id="rId1"/>
    <sheet name="Predictions" sheetId="1" r:id="rId2"/>
    <sheet name="ML Fit Comparison" sheetId="2" r:id="rId3"/>
    <sheet name="Fit by Side" sheetId="3" r:id="rId4"/>
    <sheet name="Log Time Data Plots" sheetId="4" r:id="rId5"/>
    <sheet name="Random Effect CIs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" i="2" l="1"/>
  <c r="D12" i="2"/>
  <c r="C12" i="2"/>
  <c r="C13" i="2"/>
  <c r="D7" i="3"/>
  <c r="C32" i="4" l="1"/>
  <c r="C30" i="4"/>
  <c r="D33" i="4"/>
  <c r="B35" i="4"/>
  <c r="D35" i="4" s="1"/>
  <c r="B34" i="4"/>
  <c r="C34" i="4" s="1"/>
  <c r="B33" i="4"/>
  <c r="C33" i="4" s="1"/>
  <c r="B32" i="4"/>
  <c r="D32" i="4" s="1"/>
  <c r="B31" i="4"/>
  <c r="D31" i="4" s="1"/>
  <c r="B30" i="4"/>
  <c r="D30" i="4" s="1"/>
  <c r="D34" i="4" l="1"/>
  <c r="C35" i="4"/>
  <c r="C31" i="4"/>
  <c r="E9" i="7"/>
  <c r="G9" i="7" s="1"/>
  <c r="E8" i="7"/>
  <c r="G8" i="7" s="1"/>
  <c r="E7" i="7"/>
  <c r="F7" i="7" s="1"/>
  <c r="E5" i="7"/>
  <c r="G5" i="7" s="1"/>
  <c r="E4" i="7"/>
  <c r="G4" i="7" s="1"/>
  <c r="F5" i="7" l="1"/>
  <c r="G7" i="7"/>
  <c r="F4" i="7"/>
  <c r="F8" i="7"/>
  <c r="F9" i="7"/>
  <c r="F2" i="5"/>
  <c r="F5" i="5" s="1"/>
  <c r="G2" i="5"/>
  <c r="G3" i="5" s="1"/>
  <c r="H2" i="5"/>
  <c r="H4" i="5" s="1"/>
  <c r="I2" i="5"/>
  <c r="J2" i="5"/>
  <c r="J3" i="5" s="1"/>
  <c r="K2" i="5"/>
  <c r="K5" i="5" s="1"/>
  <c r="L2" i="5"/>
  <c r="L4" i="5" s="1"/>
  <c r="M2" i="5"/>
  <c r="N2" i="5"/>
  <c r="N5" i="5" s="1"/>
  <c r="O2" i="5"/>
  <c r="O3" i="5" s="1"/>
  <c r="F3" i="5"/>
  <c r="I3" i="5"/>
  <c r="M3" i="5"/>
  <c r="F4" i="5"/>
  <c r="G4" i="5"/>
  <c r="I4" i="5"/>
  <c r="M4" i="5"/>
  <c r="N4" i="5"/>
  <c r="O4" i="5"/>
  <c r="I5" i="5"/>
  <c r="J5" i="5"/>
  <c r="L5" i="5"/>
  <c r="M5" i="5"/>
  <c r="F6" i="5"/>
  <c r="G6" i="5"/>
  <c r="H6" i="5"/>
  <c r="I6" i="5"/>
  <c r="J6" i="5"/>
  <c r="M6" i="5"/>
  <c r="F7" i="5"/>
  <c r="H7" i="5"/>
  <c r="I7" i="5"/>
  <c r="M7" i="5"/>
  <c r="N7" i="5"/>
  <c r="I8" i="5"/>
  <c r="J8" i="5"/>
  <c r="M8" i="5"/>
  <c r="N8" i="5"/>
  <c r="O8" i="5"/>
  <c r="L6" i="5" l="1"/>
  <c r="L3" i="5"/>
  <c r="G8" i="5"/>
  <c r="L7" i="5"/>
  <c r="O6" i="5"/>
  <c r="L8" i="5"/>
  <c r="F8" i="5"/>
  <c r="N6" i="5"/>
  <c r="H5" i="5"/>
  <c r="N3" i="5"/>
  <c r="H3" i="5"/>
  <c r="K7" i="5"/>
  <c r="O5" i="5"/>
  <c r="G5" i="5"/>
  <c r="K3" i="5"/>
  <c r="K6" i="5"/>
  <c r="K8" i="5"/>
  <c r="K4" i="5"/>
  <c r="J4" i="5"/>
  <c r="H8" i="5"/>
  <c r="J7" i="5"/>
  <c r="O7" i="5"/>
  <c r="G7" i="5"/>
  <c r="N48" i="1"/>
  <c r="N51" i="1"/>
  <c r="N52" i="1"/>
  <c r="M48" i="1"/>
  <c r="M49" i="1"/>
  <c r="N49" i="1" s="1"/>
  <c r="M50" i="1"/>
  <c r="N50" i="1" s="1"/>
  <c r="M51" i="1"/>
  <c r="M52" i="1"/>
  <c r="M47" i="1"/>
  <c r="N47" i="1" s="1"/>
  <c r="U40" i="1" l="1"/>
  <c r="N40" i="1"/>
  <c r="Q40" i="1"/>
  <c r="R40" i="1"/>
  <c r="U41" i="1"/>
  <c r="Q41" i="1"/>
  <c r="M22" i="1"/>
  <c r="N16" i="1"/>
  <c r="Q16" i="1"/>
  <c r="R16" i="1"/>
  <c r="U16" i="1"/>
  <c r="M16" i="1"/>
  <c r="D16" i="2"/>
  <c r="C16" i="2"/>
  <c r="D15" i="2"/>
  <c r="C15" i="2"/>
  <c r="D14" i="2"/>
  <c r="C14" i="2"/>
  <c r="D13" i="2"/>
  <c r="Q15" i="1"/>
  <c r="U15" i="1"/>
  <c r="N14" i="1"/>
  <c r="N41" i="1" s="1"/>
  <c r="O14" i="1"/>
  <c r="O40" i="1" s="1"/>
  <c r="P14" i="1"/>
  <c r="P40" i="1" s="1"/>
  <c r="Q14" i="1"/>
  <c r="R14" i="1"/>
  <c r="R41" i="1" s="1"/>
  <c r="S14" i="1"/>
  <c r="S40" i="1" s="1"/>
  <c r="T14" i="1"/>
  <c r="T40" i="1" s="1"/>
  <c r="U14" i="1"/>
  <c r="M14" i="1"/>
  <c r="M40" i="1" s="1"/>
  <c r="N18" i="1"/>
  <c r="U37" i="1"/>
  <c r="T37" i="1"/>
  <c r="S37" i="1"/>
  <c r="R37" i="1"/>
  <c r="Q37" i="1"/>
  <c r="P37" i="1"/>
  <c r="O37" i="1"/>
  <c r="N37" i="1"/>
  <c r="M37" i="1"/>
  <c r="U36" i="1"/>
  <c r="T36" i="1"/>
  <c r="S36" i="1"/>
  <c r="R36" i="1"/>
  <c r="Q36" i="1"/>
  <c r="P36" i="1"/>
  <c r="O36" i="1"/>
  <c r="N36" i="1"/>
  <c r="M36" i="1"/>
  <c r="U28" i="1"/>
  <c r="T28" i="1"/>
  <c r="S28" i="1"/>
  <c r="R28" i="1"/>
  <c r="Q28" i="1"/>
  <c r="P28" i="1"/>
  <c r="O28" i="1"/>
  <c r="N28" i="1"/>
  <c r="M28" i="1"/>
  <c r="U27" i="1"/>
  <c r="T27" i="1"/>
  <c r="S27" i="1"/>
  <c r="R27" i="1"/>
  <c r="Q27" i="1"/>
  <c r="P27" i="1"/>
  <c r="O27" i="1"/>
  <c r="N27" i="1"/>
  <c r="M27" i="1"/>
  <c r="U25" i="1"/>
  <c r="T25" i="1"/>
  <c r="S25" i="1"/>
  <c r="R25" i="1"/>
  <c r="Q25" i="1"/>
  <c r="P25" i="1"/>
  <c r="O25" i="1"/>
  <c r="N25" i="1"/>
  <c r="M25" i="1"/>
  <c r="U22" i="1"/>
  <c r="T22" i="1"/>
  <c r="S22" i="1"/>
  <c r="R22" i="1"/>
  <c r="Q22" i="1"/>
  <c r="P22" i="1"/>
  <c r="O22" i="1"/>
  <c r="N22" i="1"/>
  <c r="U18" i="1"/>
  <c r="T18" i="1"/>
  <c r="S18" i="1"/>
  <c r="R18" i="1"/>
  <c r="Q18" i="1"/>
  <c r="R34" i="1" s="1"/>
  <c r="P18" i="1"/>
  <c r="O18" i="1"/>
  <c r="P32" i="1" s="1"/>
  <c r="R31" i="1"/>
  <c r="M18" i="1"/>
  <c r="N30" i="1" s="1"/>
  <c r="U12" i="1"/>
  <c r="T12" i="1"/>
  <c r="S12" i="1"/>
  <c r="R12" i="1"/>
  <c r="Q12" i="1"/>
  <c r="P12" i="1"/>
  <c r="O12" i="1"/>
  <c r="N12" i="1"/>
  <c r="M12" i="1"/>
  <c r="U7" i="1"/>
  <c r="T7" i="1"/>
  <c r="S7" i="1"/>
  <c r="R7" i="1"/>
  <c r="Q7" i="1"/>
  <c r="P7" i="1"/>
  <c r="O7" i="1"/>
  <c r="N7" i="1"/>
  <c r="M7" i="1"/>
  <c r="U6" i="1"/>
  <c r="T6" i="1"/>
  <c r="S6" i="1"/>
  <c r="R6" i="1"/>
  <c r="Q6" i="1"/>
  <c r="P6" i="1"/>
  <c r="O6" i="1"/>
  <c r="N6" i="1"/>
  <c r="M6" i="1"/>
  <c r="U4" i="1"/>
  <c r="T4" i="1"/>
  <c r="S4" i="1"/>
  <c r="R4" i="1"/>
  <c r="Q4" i="1"/>
  <c r="P4" i="1"/>
  <c r="O4" i="1"/>
  <c r="N4" i="1"/>
  <c r="M4" i="1"/>
  <c r="O30" i="1" l="1"/>
  <c r="P30" i="1"/>
  <c r="T15" i="1"/>
  <c r="P15" i="1"/>
  <c r="P41" i="1"/>
  <c r="T41" i="1"/>
  <c r="Q30" i="1"/>
  <c r="S15" i="1"/>
  <c r="O15" i="1"/>
  <c r="T16" i="1"/>
  <c r="P16" i="1"/>
  <c r="M41" i="1"/>
  <c r="O41" i="1"/>
  <c r="S41" i="1"/>
  <c r="R33" i="1"/>
  <c r="M15" i="1"/>
  <c r="R15" i="1"/>
  <c r="N15" i="1"/>
  <c r="S16" i="1"/>
  <c r="O16" i="1"/>
  <c r="E15" i="2"/>
  <c r="E16" i="2"/>
  <c r="E13" i="2"/>
  <c r="E14" i="2"/>
  <c r="O31" i="1"/>
  <c r="Q31" i="1"/>
  <c r="Q32" i="1"/>
  <c r="R32" i="1"/>
  <c r="Q33" i="1"/>
  <c r="R30" i="1"/>
  <c r="P31" i="1"/>
</calcChain>
</file>

<file path=xl/sharedStrings.xml><?xml version="1.0" encoding="utf-8"?>
<sst xmlns="http://schemas.openxmlformats.org/spreadsheetml/2006/main" count="160" uniqueCount="98">
  <si>
    <t>ALL ML ESTIMATES TO COMPARE WITH NEG EXP</t>
  </si>
  <si>
    <t>Int</t>
  </si>
  <si>
    <t>Lin</t>
  </si>
  <si>
    <t>Quad</t>
  </si>
  <si>
    <t>Piece1</t>
  </si>
  <si>
    <t>Piece2</t>
  </si>
  <si>
    <t>Asymp</t>
  </si>
  <si>
    <t>Amount</t>
  </si>
  <si>
    <t>Rate</t>
  </si>
  <si>
    <t>Session</t>
  </si>
  <si>
    <t>Saturated Means, Unstructured Variance (Model 0)</t>
  </si>
  <si>
    <t>Random Quadratic Time (Model 3b)</t>
  </si>
  <si>
    <t>Random Asymptote, Random Amount, Fixed Rate (Model 6c)</t>
  </si>
  <si>
    <t>Random Asymptote and Intercept, Fixed Rate</t>
  </si>
  <si>
    <t>Slope12</t>
  </si>
  <si>
    <t>Slope26</t>
  </si>
  <si>
    <t>Piecewise Slope12 and Slope26 (Model 4c)</t>
  </si>
  <si>
    <t>Predicted Variances</t>
  </si>
  <si>
    <t>Res Var</t>
  </si>
  <si>
    <t>Int Var</t>
  </si>
  <si>
    <t>Int-Lin Cov</t>
  </si>
  <si>
    <t>Lin Var</t>
  </si>
  <si>
    <t>Int-Quad Cov</t>
  </si>
  <si>
    <t>Lin-Quad Cov</t>
  </si>
  <si>
    <t>Quad Var</t>
  </si>
  <si>
    <t>Int-S12 Cov</t>
  </si>
  <si>
    <t>S12 Var</t>
  </si>
  <si>
    <t>Int-S26 Cov</t>
  </si>
  <si>
    <t>S12-S26 Cov</t>
  </si>
  <si>
    <t>S26 Var</t>
  </si>
  <si>
    <t>Asymp Var</t>
  </si>
  <si>
    <t>Asym-Am Cov</t>
  </si>
  <si>
    <t>Amount Var</t>
  </si>
  <si>
    <t>Fixed Rate</t>
  </si>
  <si>
    <t>Random Asymptote, Fixed Amount and Rate</t>
  </si>
  <si>
    <t>Covariance with Session 1</t>
  </si>
  <si>
    <t>Covariance with Session 2</t>
  </si>
  <si>
    <t>Covariance with Session 3</t>
  </si>
  <si>
    <t>Covariance with Session 4</t>
  </si>
  <si>
    <t>Covariance with Session 5</t>
  </si>
  <si>
    <t>Asym-Int Cov</t>
  </si>
  <si>
    <t>Random Asymptote, Fixed Intercept and Rate</t>
  </si>
  <si>
    <t>Predicted Means</t>
  </si>
  <si>
    <t>Log Time</t>
  </si>
  <si>
    <t>Model</t>
  </si>
  <si>
    <t>Total # Parameters</t>
  </si>
  <si>
    <t>ML 
-2LL</t>
  </si>
  <si>
    <t>ML
AIC</t>
  </si>
  <si>
    <t>ML
BIC</t>
  </si>
  <si>
    <t>6c</t>
  </si>
  <si>
    <t>Negative Exponential: Random Asymptote, Random Amount, Fixed Rate</t>
  </si>
  <si>
    <t>3b</t>
  </si>
  <si>
    <t>Polynomial: Random Quadratic Time</t>
  </si>
  <si>
    <t>4c</t>
  </si>
  <si>
    <t>Piecewise: Random Slope12, Random Slope26</t>
  </si>
  <si>
    <t>Least Parsimonious Baseline: Saturated Means, Unstructured Variance</t>
  </si>
  <si>
    <t>df</t>
  </si>
  <si>
    <t>p-value</t>
  </si>
  <si>
    <t>Random Quadratic Log Time</t>
  </si>
  <si>
    <t>Log Time^2</t>
  </si>
  <si>
    <t>Random Linear Log Time</t>
  </si>
  <si>
    <t>Means Side Test</t>
  </si>
  <si>
    <t>Test 
DF</t>
  </si>
  <si>
    <t>Variance Side Test</t>
  </si>
  <si>
    <t>Chi-
Square</t>
  </si>
  <si>
    <t>p-
value</t>
  </si>
  <si>
    <t>Log(Session)</t>
  </si>
  <si>
    <t>Log(Session)^2</t>
  </si>
  <si>
    <t>Linear Log Time</t>
  </si>
  <si>
    <t>Quadratic Log Time</t>
  </si>
  <si>
    <t>Saturated</t>
  </si>
  <si>
    <t>Means</t>
  </si>
  <si>
    <t>Variances</t>
  </si>
  <si>
    <t>Unstructured</t>
  </si>
  <si>
    <t>Absolute Fit worse than Saturated Means, Unstructured Variance Model?</t>
  </si>
  <si>
    <t>Negative Quadratic</t>
  </si>
  <si>
    <t xml:space="preserve"> 0 Quadratic</t>
  </si>
  <si>
    <t xml:space="preserve"> Positive Quadratic</t>
  </si>
  <si>
    <t>Linear</t>
  </si>
  <si>
    <t>Intercept</t>
  </si>
  <si>
    <t>95% Random Effects Confidence Interval Calculator</t>
  </si>
  <si>
    <t>Term</t>
  </si>
  <si>
    <t>Fixed Effect</t>
  </si>
  <si>
    <t>Random Variance</t>
  </si>
  <si>
    <t>1.96*SD</t>
  </si>
  <si>
    <t>Lower CI</t>
  </si>
  <si>
    <t>Upper CI</t>
  </si>
  <si>
    <t>Quadratic</t>
  </si>
  <si>
    <t>Random Linear LogTime</t>
  </si>
  <si>
    <t>Random Quadratic LogTime</t>
  </si>
  <si>
    <t>session</t>
  </si>
  <si>
    <t>logtime</t>
  </si>
  <si>
    <t>logtime*2</t>
  </si>
  <si>
    <t>logtime^2</t>
  </si>
  <si>
    <t>Chi-Square</t>
  </si>
  <si>
    <t>7d</t>
  </si>
  <si>
    <t>7c</t>
  </si>
  <si>
    <t>Summary of Tests of Absolute Model Fit 
For Each Side of the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</si>
</sst>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#,##0.0000"/>
    <numFmt numFmtId="166" formatCode=".000"/>
    <numFmt numFmtId="167" formatCode="0.000"/>
    <numFmt numFmtId="168" formatCode="0.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</font>
    <font>
      <sz val="10"/>
      <color rgb="FFFF0000"/>
      <name val="Calibri"/>
      <family val="2"/>
    </font>
    <font>
      <sz val="10"/>
      <color rgb="FFFF0000"/>
      <name val="Calibri"/>
      <family val="2"/>
      <scheme val="minor"/>
    </font>
    <font>
      <b/>
      <sz val="10"/>
      <name val="Arial"/>
      <family val="2"/>
    </font>
    <font>
      <sz val="11"/>
      <color rgb="FF000000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0"/>
      <name val="Arial"/>
    </font>
    <font>
      <b/>
      <sz val="11"/>
      <color indexed="8"/>
      <name val="Calibri"/>
      <family val="2"/>
    </font>
    <font>
      <b/>
      <sz val="12"/>
      <name val="Times New Roman"/>
      <family val="1"/>
    </font>
    <font>
      <sz val="12"/>
      <name val="Times New Roman"/>
      <family val="1"/>
    </font>
    <font>
      <u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10" fillId="0" borderId="0"/>
    <xf numFmtId="0" fontId="14" fillId="0" borderId="0"/>
  </cellStyleXfs>
  <cellXfs count="136">
    <xf numFmtId="0" fontId="0" fillId="0" borderId="0" xfId="0"/>
    <xf numFmtId="0" fontId="4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5" fillId="0" borderId="0" xfId="1" applyFont="1"/>
    <xf numFmtId="0" fontId="4" fillId="0" borderId="1" xfId="1" applyFont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3" fontId="4" fillId="0" borderId="0" xfId="2" applyNumberFormat="1" applyFont="1"/>
    <xf numFmtId="164" fontId="4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/>
    <xf numFmtId="0" fontId="7" fillId="0" borderId="0" xfId="1" applyFont="1" applyAlignment="1">
      <alignment horizontal="left"/>
    </xf>
    <xf numFmtId="3" fontId="7" fillId="0" borderId="0" xfId="2" applyNumberFormat="1" applyFont="1"/>
    <xf numFmtId="0" fontId="4" fillId="0" borderId="0" xfId="1" applyFont="1" applyBorder="1" applyAlignment="1">
      <alignment horizontal="left"/>
    </xf>
    <xf numFmtId="0" fontId="4" fillId="0" borderId="1" xfId="1" applyFont="1" applyBorder="1" applyAlignment="1">
      <alignment horizontal="left"/>
    </xf>
    <xf numFmtId="1" fontId="4" fillId="0" borderId="0" xfId="1" applyNumberFormat="1" applyFont="1" applyAlignment="1">
      <alignment horizontal="center"/>
    </xf>
    <xf numFmtId="0" fontId="5" fillId="0" borderId="0" xfId="1" applyFont="1" applyAlignment="1">
      <alignment horizontal="center"/>
    </xf>
    <xf numFmtId="0" fontId="4" fillId="0" borderId="0" xfId="2" applyFont="1"/>
    <xf numFmtId="0" fontId="3" fillId="0" borderId="0" xfId="2" applyFont="1" applyAlignment="1">
      <alignment horizontal="center"/>
    </xf>
    <xf numFmtId="0" fontId="4" fillId="0" borderId="0" xfId="2" applyFont="1" applyAlignment="1">
      <alignment horizontal="center"/>
    </xf>
    <xf numFmtId="0" fontId="4" fillId="0" borderId="1" xfId="2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3" fontId="4" fillId="0" borderId="1" xfId="2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65" fontId="4" fillId="0" borderId="0" xfId="2" applyNumberFormat="1" applyFont="1"/>
    <xf numFmtId="0" fontId="2" fillId="0" borderId="0" xfId="2"/>
    <xf numFmtId="0" fontId="2" fillId="0" borderId="0" xfId="2" applyAlignment="1">
      <alignment horizontal="center"/>
    </xf>
    <xf numFmtId="0" fontId="8" fillId="0" borderId="0" xfId="2" applyFont="1" applyAlignment="1">
      <alignment horizontal="center"/>
    </xf>
    <xf numFmtId="3" fontId="2" fillId="0" borderId="0" xfId="2" applyNumberFormat="1"/>
    <xf numFmtId="0" fontId="3" fillId="0" borderId="0" xfId="1" applyFont="1" applyAlignment="1">
      <alignment horizontal="center"/>
    </xf>
    <xf numFmtId="0" fontId="3" fillId="2" borderId="0" xfId="1" applyFont="1" applyFill="1" applyAlignment="1">
      <alignment horizontal="center"/>
    </xf>
    <xf numFmtId="0" fontId="9" fillId="0" borderId="0" xfId="0" applyFont="1"/>
    <xf numFmtId="0" fontId="11" fillId="0" borderId="0" xfId="4" applyFont="1" applyAlignment="1">
      <alignment horizontal="center"/>
    </xf>
    <xf numFmtId="0" fontId="12" fillId="0" borderId="0" xfId="3" applyFont="1" applyBorder="1" applyAlignment="1">
      <alignment wrapText="1"/>
    </xf>
    <xf numFmtId="0" fontId="12" fillId="0" borderId="1" xfId="3" applyFont="1" applyBorder="1" applyAlignment="1">
      <alignment wrapText="1"/>
    </xf>
    <xf numFmtId="0" fontId="11" fillId="0" borderId="0" xfId="4" applyFont="1"/>
    <xf numFmtId="0" fontId="11" fillId="0" borderId="2" xfId="3" applyFont="1" applyBorder="1" applyAlignment="1">
      <alignment horizontal="center" vertical="center" wrapText="1"/>
    </xf>
    <xf numFmtId="0" fontId="11" fillId="0" borderId="0" xfId="4" applyFont="1" applyAlignment="1">
      <alignment horizontal="left"/>
    </xf>
    <xf numFmtId="0" fontId="12" fillId="0" borderId="0" xfId="3" applyFont="1" applyBorder="1" applyAlignment="1">
      <alignment horizontal="center" vertical="center" wrapText="1"/>
    </xf>
    <xf numFmtId="0" fontId="11" fillId="0" borderId="0" xfId="3" applyFont="1" applyAlignment="1">
      <alignment horizontal="center"/>
    </xf>
    <xf numFmtId="164" fontId="11" fillId="0" borderId="0" xfId="3" applyNumberFormat="1" applyFont="1" applyAlignment="1">
      <alignment horizontal="center"/>
    </xf>
    <xf numFmtId="0" fontId="11" fillId="0" borderId="1" xfId="3" applyFont="1" applyBorder="1" applyAlignment="1">
      <alignment horizontal="center"/>
    </xf>
    <xf numFmtId="164" fontId="11" fillId="0" borderId="1" xfId="3" applyNumberFormat="1" applyFont="1" applyBorder="1" applyAlignment="1">
      <alignment horizontal="center"/>
    </xf>
    <xf numFmtId="0" fontId="11" fillId="0" borderId="0" xfId="3" applyFont="1" applyAlignment="1">
      <alignment horizontal="left" indent="2"/>
    </xf>
    <xf numFmtId="0" fontId="11" fillId="0" borderId="1" xfId="4" applyFont="1" applyBorder="1" applyAlignment="1">
      <alignment horizontal="left"/>
    </xf>
    <xf numFmtId="0" fontId="11" fillId="0" borderId="1" xfId="3" applyFont="1" applyBorder="1"/>
    <xf numFmtId="1" fontId="11" fillId="0" borderId="1" xfId="3" applyNumberFormat="1" applyFont="1" applyBorder="1" applyAlignment="1">
      <alignment horizontal="center"/>
    </xf>
    <xf numFmtId="0" fontId="11" fillId="0" borderId="0" xfId="4" applyFont="1" applyBorder="1" applyAlignment="1">
      <alignment horizontal="center"/>
    </xf>
    <xf numFmtId="0" fontId="11" fillId="0" borderId="0" xfId="4" applyFont="1" applyBorder="1"/>
    <xf numFmtId="0" fontId="11" fillId="0" borderId="0" xfId="3" applyFont="1" applyBorder="1" applyAlignment="1">
      <alignment horizontal="center" vertical="center" wrapText="1"/>
    </xf>
    <xf numFmtId="0" fontId="11" fillId="0" borderId="0" xfId="4" applyFont="1" applyBorder="1" applyAlignment="1">
      <alignment horizontal="left"/>
    </xf>
    <xf numFmtId="0" fontId="11" fillId="0" borderId="0" xfId="3" applyFont="1" applyBorder="1" applyAlignment="1">
      <alignment horizontal="center"/>
    </xf>
    <xf numFmtId="164" fontId="11" fillId="0" borderId="0" xfId="3" applyNumberFormat="1" applyFont="1" applyBorder="1" applyAlignment="1">
      <alignment horizontal="center"/>
    </xf>
    <xf numFmtId="0" fontId="11" fillId="0" borderId="0" xfId="3" applyFont="1" applyBorder="1" applyAlignment="1">
      <alignment horizontal="left"/>
    </xf>
    <xf numFmtId="1" fontId="11" fillId="0" borderId="0" xfId="3" applyNumberFormat="1" applyFont="1" applyBorder="1" applyAlignment="1">
      <alignment horizontal="center"/>
    </xf>
    <xf numFmtId="0" fontId="12" fillId="0" borderId="0" xfId="3" applyFont="1" applyBorder="1" applyAlignment="1"/>
    <xf numFmtId="0" fontId="12" fillId="0" borderId="0" xfId="3" applyFont="1" applyBorder="1" applyAlignment="1">
      <alignment horizontal="center" vertical="center"/>
    </xf>
    <xf numFmtId="0" fontId="11" fillId="0" borderId="0" xfId="3" applyFont="1" applyBorder="1" applyAlignment="1"/>
    <xf numFmtId="0" fontId="11" fillId="0" borderId="0" xfId="4" applyFont="1" applyBorder="1" applyAlignment="1"/>
    <xf numFmtId="0" fontId="11" fillId="0" borderId="0" xfId="4" applyFont="1" applyAlignment="1"/>
    <xf numFmtId="0" fontId="11" fillId="0" borderId="0" xfId="3" applyFont="1" applyBorder="1" applyAlignment="1">
      <alignment wrapText="1"/>
    </xf>
    <xf numFmtId="2" fontId="12" fillId="0" borderId="0" xfId="3" applyNumberFormat="1" applyFont="1" applyBorder="1" applyAlignment="1">
      <alignment horizontal="center" vertical="center" wrapText="1"/>
    </xf>
    <xf numFmtId="2" fontId="11" fillId="0" borderId="0" xfId="3" applyNumberFormat="1" applyFont="1" applyBorder="1" applyAlignment="1">
      <alignment horizontal="center"/>
    </xf>
    <xf numFmtId="2" fontId="11" fillId="0" borderId="0" xfId="4" applyNumberFormat="1" applyFont="1"/>
    <xf numFmtId="2" fontId="12" fillId="0" borderId="0" xfId="3" applyNumberFormat="1" applyFont="1" applyBorder="1" applyAlignment="1">
      <alignment wrapText="1"/>
    </xf>
    <xf numFmtId="167" fontId="11" fillId="0" borderId="0" xfId="4" applyNumberFormat="1" applyFont="1" applyBorder="1"/>
    <xf numFmtId="167" fontId="12" fillId="0" borderId="0" xfId="3" applyNumberFormat="1" applyFont="1" applyBorder="1" applyAlignment="1">
      <alignment horizontal="center" vertical="center" wrapText="1"/>
    </xf>
    <xf numFmtId="167" fontId="11" fillId="0" borderId="0" xfId="3" applyNumberFormat="1" applyFont="1" applyBorder="1" applyAlignment="1">
      <alignment horizontal="center"/>
    </xf>
    <xf numFmtId="167" fontId="12" fillId="0" borderId="0" xfId="3" applyNumberFormat="1" applyFont="1" applyBorder="1" applyAlignment="1">
      <alignment horizontal="center"/>
    </xf>
    <xf numFmtId="167" fontId="11" fillId="0" borderId="0" xfId="4" applyNumberFormat="1" applyFont="1"/>
    <xf numFmtId="167" fontId="12" fillId="0" borderId="0" xfId="3" applyNumberFormat="1" applyFont="1" applyBorder="1" applyAlignment="1">
      <alignment wrapText="1"/>
    </xf>
    <xf numFmtId="1" fontId="12" fillId="0" borderId="0" xfId="3" applyNumberFormat="1" applyFont="1" applyBorder="1" applyAlignment="1">
      <alignment wrapText="1"/>
    </xf>
    <xf numFmtId="1" fontId="12" fillId="0" borderId="0" xfId="3" applyNumberFormat="1" applyFont="1" applyBorder="1" applyAlignment="1">
      <alignment horizontal="center" vertical="center" wrapText="1"/>
    </xf>
    <xf numFmtId="1" fontId="11" fillId="0" borderId="0" xfId="4" applyNumberFormat="1" applyFont="1"/>
    <xf numFmtId="2" fontId="11" fillId="0" borderId="1" xfId="3" applyNumberFormat="1" applyFont="1" applyBorder="1" applyAlignment="1">
      <alignment horizontal="center" vertical="center" wrapText="1"/>
    </xf>
    <xf numFmtId="1" fontId="11" fillId="0" borderId="1" xfId="3" applyNumberFormat="1" applyFont="1" applyBorder="1" applyAlignment="1">
      <alignment horizontal="center" vertical="center" wrapText="1"/>
    </xf>
    <xf numFmtId="167" fontId="11" fillId="0" borderId="1" xfId="3" applyNumberFormat="1" applyFont="1" applyBorder="1" applyAlignment="1">
      <alignment horizontal="center" vertical="center" wrapText="1"/>
    </xf>
    <xf numFmtId="0" fontId="12" fillId="0" borderId="2" xfId="3" applyFont="1" applyBorder="1" applyAlignment="1">
      <alignment horizontal="center" wrapText="1"/>
    </xf>
    <xf numFmtId="0" fontId="11" fillId="0" borderId="1" xfId="3" applyFont="1" applyBorder="1" applyAlignment="1"/>
    <xf numFmtId="2" fontId="12" fillId="0" borderId="1" xfId="3" applyNumberFormat="1" applyFont="1" applyBorder="1" applyAlignment="1">
      <alignment horizontal="center"/>
    </xf>
    <xf numFmtId="167" fontId="11" fillId="0" borderId="1" xfId="3" applyNumberFormat="1" applyFont="1" applyBorder="1" applyAlignment="1">
      <alignment horizontal="center"/>
    </xf>
    <xf numFmtId="0" fontId="4" fillId="0" borderId="0" xfId="1" applyFont="1" applyAlignment="1"/>
    <xf numFmtId="0" fontId="2" fillId="0" borderId="0" xfId="2" applyAlignment="1"/>
    <xf numFmtId="0" fontId="2" fillId="0" borderId="0" xfId="2" applyAlignment="1">
      <alignment horizontal="right"/>
    </xf>
    <xf numFmtId="0" fontId="0" fillId="0" borderId="0" xfId="0" applyAlignment="1">
      <alignment horizontal="center"/>
    </xf>
    <xf numFmtId="2" fontId="0" fillId="0" borderId="0" xfId="0" applyNumberFormat="1"/>
    <xf numFmtId="1" fontId="0" fillId="0" borderId="0" xfId="0" applyNumberFormat="1"/>
    <xf numFmtId="2" fontId="0" fillId="0" borderId="0" xfId="0" applyNumberFormat="1" applyAlignment="1">
      <alignment wrapText="1"/>
    </xf>
    <xf numFmtId="0" fontId="10" fillId="0" borderId="0" xfId="4"/>
    <xf numFmtId="0" fontId="13" fillId="0" borderId="0" xfId="4" applyFont="1" applyAlignment="1">
      <alignment horizontal="center"/>
    </xf>
    <xf numFmtId="0" fontId="15" fillId="0" borderId="2" xfId="0" applyFont="1" applyBorder="1" applyAlignment="1">
      <alignment horizontal="center" vertical="center"/>
    </xf>
    <xf numFmtId="1" fontId="15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64" fontId="0" fillId="0" borderId="0" xfId="0" applyNumberFormat="1"/>
    <xf numFmtId="168" fontId="0" fillId="0" borderId="0" xfId="0" applyNumberFormat="1"/>
    <xf numFmtId="0" fontId="3" fillId="2" borderId="0" xfId="1" applyFont="1" applyFill="1" applyAlignment="1">
      <alignment horizontal="center"/>
    </xf>
    <xf numFmtId="0" fontId="11" fillId="0" borderId="2" xfId="3" applyFont="1" applyBorder="1" applyAlignment="1">
      <alignment horizontal="center" vertical="center" wrapText="1"/>
    </xf>
    <xf numFmtId="0" fontId="12" fillId="0" borderId="2" xfId="3" applyFont="1" applyBorder="1" applyAlignment="1">
      <alignment horizontal="center" wrapText="1"/>
    </xf>
    <xf numFmtId="0" fontId="12" fillId="0" borderId="3" xfId="3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6" fillId="0" borderId="0" xfId="4" applyFont="1" applyAlignment="1">
      <alignment horizontal="left"/>
    </xf>
    <xf numFmtId="0" fontId="16" fillId="0" borderId="0" xfId="3" applyFont="1"/>
    <xf numFmtId="0" fontId="17" fillId="0" borderId="0" xfId="3" applyFont="1" applyAlignment="1">
      <alignment horizontal="center"/>
    </xf>
    <xf numFmtId="2" fontId="17" fillId="0" borderId="0" xfId="3" applyNumberFormat="1" applyFont="1" applyAlignment="1">
      <alignment horizontal="center"/>
    </xf>
    <xf numFmtId="164" fontId="17" fillId="0" borderId="0" xfId="3" applyNumberFormat="1" applyFont="1" applyAlignment="1">
      <alignment horizontal="center"/>
    </xf>
    <xf numFmtId="0" fontId="17" fillId="0" borderId="0" xfId="4" applyFont="1" applyAlignment="1">
      <alignment horizontal="left"/>
    </xf>
    <xf numFmtId="0" fontId="17" fillId="0" borderId="0" xfId="3" applyFont="1"/>
    <xf numFmtId="0" fontId="17" fillId="0" borderId="0" xfId="3" applyFont="1" applyAlignment="1">
      <alignment horizontal="left"/>
    </xf>
    <xf numFmtId="164" fontId="16" fillId="0" borderId="0" xfId="3" applyNumberFormat="1" applyFont="1" applyAlignment="1">
      <alignment horizontal="center"/>
    </xf>
    <xf numFmtId="2" fontId="16" fillId="0" borderId="0" xfId="3" applyNumberFormat="1" applyFont="1" applyAlignment="1">
      <alignment horizontal="center"/>
    </xf>
    <xf numFmtId="0" fontId="18" fillId="0" borderId="0" xfId="3" applyFont="1"/>
    <xf numFmtId="0" fontId="17" fillId="0" borderId="1" xfId="3" applyFont="1" applyBorder="1" applyAlignment="1">
      <alignment horizontal="center"/>
    </xf>
    <xf numFmtId="2" fontId="17" fillId="0" borderId="1" xfId="3" applyNumberFormat="1" applyFont="1" applyBorder="1" applyAlignment="1">
      <alignment horizontal="center"/>
    </xf>
    <xf numFmtId="164" fontId="17" fillId="0" borderId="1" xfId="3" applyNumberFormat="1" applyFont="1" applyBorder="1" applyAlignment="1">
      <alignment horizontal="center"/>
    </xf>
    <xf numFmtId="0" fontId="16" fillId="0" borderId="0" xfId="3" applyFont="1" applyAlignment="1">
      <alignment horizontal="left" indent="2"/>
    </xf>
    <xf numFmtId="166" fontId="17" fillId="0" borderId="0" xfId="3" applyNumberFormat="1" applyFont="1" applyAlignment="1">
      <alignment horizontal="center"/>
    </xf>
    <xf numFmtId="0" fontId="17" fillId="0" borderId="0" xfId="3" applyFont="1" applyAlignment="1">
      <alignment horizontal="left" indent="2"/>
    </xf>
    <xf numFmtId="166" fontId="16" fillId="0" borderId="0" xfId="3" applyNumberFormat="1" applyFont="1" applyAlignment="1">
      <alignment horizontal="center"/>
    </xf>
    <xf numFmtId="0" fontId="16" fillId="0" borderId="0" xfId="3" applyFont="1" applyAlignment="1">
      <alignment horizontal="center"/>
    </xf>
    <xf numFmtId="0" fontId="16" fillId="0" borderId="0" xfId="4" applyFont="1" applyBorder="1" applyAlignment="1">
      <alignment horizontal="left"/>
    </xf>
    <xf numFmtId="0" fontId="16" fillId="0" borderId="0" xfId="3" applyFont="1" applyBorder="1" applyAlignment="1"/>
    <xf numFmtId="0" fontId="17" fillId="0" borderId="0" xfId="3" applyFont="1" applyBorder="1" applyAlignment="1">
      <alignment horizontal="center"/>
    </xf>
    <xf numFmtId="2" fontId="16" fillId="0" borderId="0" xfId="3" applyNumberFormat="1" applyFont="1" applyBorder="1" applyAlignment="1">
      <alignment horizontal="center"/>
    </xf>
    <xf numFmtId="1" fontId="16" fillId="0" borderId="0" xfId="3" applyNumberFormat="1" applyFont="1" applyBorder="1" applyAlignment="1">
      <alignment horizontal="center"/>
    </xf>
    <xf numFmtId="167" fontId="16" fillId="0" borderId="0" xfId="3" applyNumberFormat="1" applyFont="1" applyBorder="1" applyAlignment="1">
      <alignment horizontal="center"/>
    </xf>
    <xf numFmtId="0" fontId="16" fillId="0" borderId="0" xfId="3" applyFont="1" applyBorder="1" applyAlignment="1">
      <alignment horizontal="center"/>
    </xf>
    <xf numFmtId="0" fontId="17" fillId="0" borderId="0" xfId="4" applyFont="1" applyBorder="1"/>
    <xf numFmtId="0" fontId="17" fillId="0" borderId="0" xfId="4" applyFont="1"/>
    <xf numFmtId="2" fontId="17" fillId="0" borderId="0" xfId="3" applyNumberFormat="1" applyFont="1" applyBorder="1" applyAlignment="1">
      <alignment horizontal="center"/>
    </xf>
    <xf numFmtId="1" fontId="17" fillId="0" borderId="0" xfId="3" applyNumberFormat="1" applyFont="1" applyBorder="1" applyAlignment="1">
      <alignment horizontal="center"/>
    </xf>
    <xf numFmtId="167" fontId="17" fillId="0" borderId="0" xfId="3" applyNumberFormat="1" applyFont="1" applyBorder="1" applyAlignment="1">
      <alignment horizontal="center"/>
    </xf>
    <xf numFmtId="0" fontId="12" fillId="0" borderId="0" xfId="4" applyFont="1" applyBorder="1" applyAlignment="1">
      <alignment horizontal="left"/>
    </xf>
    <xf numFmtId="0" fontId="12" fillId="0" borderId="0" xfId="3" applyFont="1" applyBorder="1" applyAlignment="1">
      <alignment horizontal="left"/>
    </xf>
  </cellXfs>
  <cellStyles count="6">
    <cellStyle name="Normal" xfId="0" builtinId="0"/>
    <cellStyle name="Normal 2" xfId="1" xr:uid="{00000000-0005-0000-0000-000001000000}"/>
    <cellStyle name="Normal 2 2" xfId="3" xr:uid="{00000000-0005-0000-0000-000002000000}"/>
    <cellStyle name="Normal 3" xfId="2" xr:uid="{00000000-0005-0000-0000-000003000000}"/>
    <cellStyle name="Normal 3 2" xfId="5" xr:uid="{00000000-0005-0000-0000-000004000000}"/>
    <cellStyle name="Normal 4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Positive Linear Slopes of Log Time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'Log Time'!$E$3</c:f>
              <c:strCache>
                <c:ptCount val="1"/>
                <c:pt idx="0">
                  <c:v> Positive Quadratic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val>
            <c:numRef>
              <c:f>'Log Time'!$F$3:$O$3</c:f>
              <c:numCache>
                <c:formatCode>General</c:formatCode>
                <c:ptCount val="10"/>
                <c:pt idx="0">
                  <c:v>50</c:v>
                </c:pt>
                <c:pt idx="1">
                  <c:v>57.892377833435852</c:v>
                </c:pt>
                <c:pt idx="2">
                  <c:v>63.400020808306266</c:v>
                </c:pt>
                <c:pt idx="3">
                  <c:v>67.70656772254452</c:v>
                </c:pt>
                <c:pt idx="4">
                  <c:v>71.274959912301469</c:v>
                </c:pt>
                <c:pt idx="5">
                  <c:v>74.338398683417353</c:v>
                </c:pt>
                <c:pt idx="6">
                  <c:v>77.032234106946078</c:v>
                </c:pt>
                <c:pt idx="7">
                  <c:v>79.442569667325984</c:v>
                </c:pt>
                <c:pt idx="8">
                  <c:v>81.62783745986286</c:v>
                </c:pt>
                <c:pt idx="9">
                  <c:v>83.629647150897256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10-40F6-B249-42C29513C4AF}"/>
            </c:ext>
          </c:extLst>
        </c:ser>
        <c:ser>
          <c:idx val="1"/>
          <c:order val="1"/>
          <c:tx>
            <c:strRef>
              <c:f>'Log Time'!$E$4</c:f>
              <c:strCache>
                <c:ptCount val="1"/>
                <c:pt idx="0">
                  <c:v> 0 Quadratic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'Log Time'!$F$4:$O$4</c:f>
              <c:numCache>
                <c:formatCode>General</c:formatCode>
                <c:ptCount val="10"/>
                <c:pt idx="0">
                  <c:v>50</c:v>
                </c:pt>
                <c:pt idx="1">
                  <c:v>56.93147180559945</c:v>
                </c:pt>
                <c:pt idx="2">
                  <c:v>60.986122886681102</c:v>
                </c:pt>
                <c:pt idx="3">
                  <c:v>63.862943611198908</c:v>
                </c:pt>
                <c:pt idx="4">
                  <c:v>66.094379124341003</c:v>
                </c:pt>
                <c:pt idx="5">
                  <c:v>67.917594692280545</c:v>
                </c:pt>
                <c:pt idx="6">
                  <c:v>69.459101490553138</c:v>
                </c:pt>
                <c:pt idx="7">
                  <c:v>70.794415416798358</c:v>
                </c:pt>
                <c:pt idx="8">
                  <c:v>71.972245773362204</c:v>
                </c:pt>
                <c:pt idx="9">
                  <c:v>73.025850929940461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10-40F6-B249-42C29513C4AF}"/>
            </c:ext>
          </c:extLst>
        </c:ser>
        <c:ser>
          <c:idx val="2"/>
          <c:order val="2"/>
          <c:tx>
            <c:strRef>
              <c:f>'Log Time'!$E$5</c:f>
              <c:strCache>
                <c:ptCount val="1"/>
                <c:pt idx="0">
                  <c:v>Negative Quadratic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val>
            <c:numRef>
              <c:f>'Log Time'!$F$5:$O$5</c:f>
              <c:numCache>
                <c:formatCode>General</c:formatCode>
                <c:ptCount val="10"/>
                <c:pt idx="0">
                  <c:v>50</c:v>
                </c:pt>
                <c:pt idx="1">
                  <c:v>55.970565777763049</c:v>
                </c:pt>
                <c:pt idx="2">
                  <c:v>58.572224965055938</c:v>
                </c:pt>
                <c:pt idx="3">
                  <c:v>60.019319499853296</c:v>
                </c:pt>
                <c:pt idx="4">
                  <c:v>60.913798336380538</c:v>
                </c:pt>
                <c:pt idx="5">
                  <c:v>61.496790701143745</c:v>
                </c:pt>
                <c:pt idx="6">
                  <c:v>61.885968874160199</c:v>
                </c:pt>
                <c:pt idx="7">
                  <c:v>62.146261166270733</c:v>
                </c:pt>
                <c:pt idx="8">
                  <c:v>62.316654086861547</c:v>
                </c:pt>
                <c:pt idx="9">
                  <c:v>62.422054708983666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10-40F6-B249-42C29513C4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6415360"/>
        <c:axId val="173836544"/>
      </c:lineChart>
      <c:catAx>
        <c:axId val="20641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Original Time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73836544"/>
        <c:crosses val="autoZero"/>
        <c:auto val="1"/>
        <c:lblAlgn val="ctr"/>
        <c:lblOffset val="100"/>
        <c:noMultiLvlLbl val="0"/>
      </c:catAx>
      <c:valAx>
        <c:axId val="173836544"/>
        <c:scaling>
          <c:orientation val="minMax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6415360"/>
        <c:crosses val="autoZero"/>
        <c:crossBetween val="between"/>
      </c:valAx>
    </c:plotArea>
    <c:legend>
      <c:legendPos val="t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Negative Linear Slopes of Log Time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'Log Time'!$E$6</c:f>
              <c:strCache>
                <c:ptCount val="1"/>
                <c:pt idx="0">
                  <c:v> Positive Quadratic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val>
            <c:numRef>
              <c:f>'Log Time'!$F$6:$O$6</c:f>
              <c:numCache>
                <c:formatCode>General</c:formatCode>
                <c:ptCount val="10"/>
                <c:pt idx="0">
                  <c:v>50</c:v>
                </c:pt>
                <c:pt idx="1">
                  <c:v>44.029434222236951</c:v>
                </c:pt>
                <c:pt idx="2">
                  <c:v>41.427775034944062</c:v>
                </c:pt>
                <c:pt idx="3">
                  <c:v>39.980680500146704</c:v>
                </c:pt>
                <c:pt idx="4">
                  <c:v>39.086201663619462</c:v>
                </c:pt>
                <c:pt idx="5">
                  <c:v>38.503209298856255</c:v>
                </c:pt>
                <c:pt idx="6">
                  <c:v>38.114031125839816</c:v>
                </c:pt>
                <c:pt idx="7">
                  <c:v>37.853738833729267</c:v>
                </c:pt>
                <c:pt idx="8">
                  <c:v>37.68334591313846</c:v>
                </c:pt>
                <c:pt idx="9">
                  <c:v>37.577945291016334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C6-4C1A-BA6D-386E3BDEA635}"/>
            </c:ext>
          </c:extLst>
        </c:ser>
        <c:ser>
          <c:idx val="1"/>
          <c:order val="1"/>
          <c:tx>
            <c:strRef>
              <c:f>'Log Time'!$E$7</c:f>
              <c:strCache>
                <c:ptCount val="1"/>
                <c:pt idx="0">
                  <c:v> 0 Quadratic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'Log Time'!$F$7:$O$7</c:f>
              <c:numCache>
                <c:formatCode>General</c:formatCode>
                <c:ptCount val="10"/>
                <c:pt idx="0">
                  <c:v>50</c:v>
                </c:pt>
                <c:pt idx="1">
                  <c:v>43.06852819440055</c:v>
                </c:pt>
                <c:pt idx="2">
                  <c:v>39.013877113318898</c:v>
                </c:pt>
                <c:pt idx="3">
                  <c:v>36.137056388801092</c:v>
                </c:pt>
                <c:pt idx="4">
                  <c:v>33.905620875658997</c:v>
                </c:pt>
                <c:pt idx="5">
                  <c:v>32.082405307719455</c:v>
                </c:pt>
                <c:pt idx="6">
                  <c:v>30.540898509446869</c:v>
                </c:pt>
                <c:pt idx="7">
                  <c:v>29.205584583201642</c:v>
                </c:pt>
                <c:pt idx="8">
                  <c:v>28.027754226637803</c:v>
                </c:pt>
                <c:pt idx="9">
                  <c:v>26.974149070059539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C6-4C1A-BA6D-386E3BDEA635}"/>
            </c:ext>
          </c:extLst>
        </c:ser>
        <c:ser>
          <c:idx val="2"/>
          <c:order val="2"/>
          <c:tx>
            <c:strRef>
              <c:f>'Log Time'!$E$8</c:f>
              <c:strCache>
                <c:ptCount val="1"/>
                <c:pt idx="0">
                  <c:v>Negative Quadratic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val>
            <c:numRef>
              <c:f>'Log Time'!$F$8:$O$8</c:f>
              <c:numCache>
                <c:formatCode>General</c:formatCode>
                <c:ptCount val="10"/>
                <c:pt idx="0">
                  <c:v>50</c:v>
                </c:pt>
                <c:pt idx="1">
                  <c:v>42.107622166564148</c:v>
                </c:pt>
                <c:pt idx="2">
                  <c:v>36.599979191693734</c:v>
                </c:pt>
                <c:pt idx="3">
                  <c:v>32.29343227745548</c:v>
                </c:pt>
                <c:pt idx="4">
                  <c:v>28.725040087698527</c:v>
                </c:pt>
                <c:pt idx="5">
                  <c:v>25.661601316582654</c:v>
                </c:pt>
                <c:pt idx="6">
                  <c:v>22.967765893053926</c:v>
                </c:pt>
                <c:pt idx="7">
                  <c:v>20.557430332674016</c:v>
                </c:pt>
                <c:pt idx="8">
                  <c:v>18.372162540137147</c:v>
                </c:pt>
                <c:pt idx="9">
                  <c:v>16.370352849102741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5C6-4C1A-BA6D-386E3BDEA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6416384"/>
        <c:axId val="173838848"/>
      </c:lineChart>
      <c:catAx>
        <c:axId val="206416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Original Time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73838848"/>
        <c:crosses val="autoZero"/>
        <c:auto val="1"/>
        <c:lblAlgn val="ctr"/>
        <c:lblOffset val="100"/>
        <c:noMultiLvlLbl val="0"/>
      </c:catAx>
      <c:valAx>
        <c:axId val="173838848"/>
        <c:scaling>
          <c:orientation val="minMax"/>
          <c:min val="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6416384"/>
        <c:crosses val="autoZero"/>
        <c:crossBetween val="between"/>
        <c:majorUnit val="5"/>
      </c:valAx>
    </c:plotArea>
    <c:legend>
      <c:legendPos val="t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Positive Linear Slopes of Log Time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9419104435609372E-2"/>
          <c:y val="0.23505731744006311"/>
          <c:w val="0.86940522743277193"/>
          <c:h val="0.550344527092216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'Log Time'!$E$3</c:f>
              <c:strCache>
                <c:ptCount val="1"/>
                <c:pt idx="0">
                  <c:v> Positive Quadratic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'Log Time'!$F$2:$O$2</c:f>
              <c:numCache>
                <c:formatCode>General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'Log Time'!$F$3:$O$3</c:f>
              <c:numCache>
                <c:formatCode>General</c:formatCode>
                <c:ptCount val="10"/>
                <c:pt idx="0">
                  <c:v>50</c:v>
                </c:pt>
                <c:pt idx="1">
                  <c:v>57.892377833435852</c:v>
                </c:pt>
                <c:pt idx="2">
                  <c:v>63.400020808306266</c:v>
                </c:pt>
                <c:pt idx="3">
                  <c:v>67.70656772254452</c:v>
                </c:pt>
                <c:pt idx="4">
                  <c:v>71.274959912301469</c:v>
                </c:pt>
                <c:pt idx="5">
                  <c:v>74.338398683417353</c:v>
                </c:pt>
                <c:pt idx="6">
                  <c:v>77.032234106946078</c:v>
                </c:pt>
                <c:pt idx="7">
                  <c:v>79.442569667325984</c:v>
                </c:pt>
                <c:pt idx="8">
                  <c:v>81.62783745986286</c:v>
                </c:pt>
                <c:pt idx="9">
                  <c:v>83.629647150897256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61D-414A-996D-BF66463DB008}"/>
            </c:ext>
          </c:extLst>
        </c:ser>
        <c:ser>
          <c:idx val="1"/>
          <c:order val="1"/>
          <c:tx>
            <c:strRef>
              <c:f>'Log Time'!$E$4</c:f>
              <c:strCache>
                <c:ptCount val="1"/>
                <c:pt idx="0">
                  <c:v> 0 Quadratic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'Log Time'!$F$2:$O$2</c:f>
              <c:numCache>
                <c:formatCode>General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'Log Time'!$F$4:$O$4</c:f>
              <c:numCache>
                <c:formatCode>General</c:formatCode>
                <c:ptCount val="10"/>
                <c:pt idx="0">
                  <c:v>50</c:v>
                </c:pt>
                <c:pt idx="1">
                  <c:v>56.93147180559945</c:v>
                </c:pt>
                <c:pt idx="2">
                  <c:v>60.986122886681102</c:v>
                </c:pt>
                <c:pt idx="3">
                  <c:v>63.862943611198908</c:v>
                </c:pt>
                <c:pt idx="4">
                  <c:v>66.094379124341003</c:v>
                </c:pt>
                <c:pt idx="5">
                  <c:v>67.917594692280545</c:v>
                </c:pt>
                <c:pt idx="6">
                  <c:v>69.459101490553138</c:v>
                </c:pt>
                <c:pt idx="7">
                  <c:v>70.794415416798358</c:v>
                </c:pt>
                <c:pt idx="8">
                  <c:v>71.972245773362204</c:v>
                </c:pt>
                <c:pt idx="9">
                  <c:v>73.025850929940461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61D-414A-996D-BF66463DB008}"/>
            </c:ext>
          </c:extLst>
        </c:ser>
        <c:ser>
          <c:idx val="2"/>
          <c:order val="2"/>
          <c:tx>
            <c:strRef>
              <c:f>'Log Time'!$E$5</c:f>
              <c:strCache>
                <c:ptCount val="1"/>
                <c:pt idx="0">
                  <c:v>Negative Quadratic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'Log Time'!$F$2:$O$2</c:f>
              <c:numCache>
                <c:formatCode>General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'Log Time'!$F$5:$O$5</c:f>
              <c:numCache>
                <c:formatCode>General</c:formatCode>
                <c:ptCount val="10"/>
                <c:pt idx="0">
                  <c:v>50</c:v>
                </c:pt>
                <c:pt idx="1">
                  <c:v>55.970565777763049</c:v>
                </c:pt>
                <c:pt idx="2">
                  <c:v>58.572224965055938</c:v>
                </c:pt>
                <c:pt idx="3">
                  <c:v>60.019319499853296</c:v>
                </c:pt>
                <c:pt idx="4">
                  <c:v>60.913798336380538</c:v>
                </c:pt>
                <c:pt idx="5">
                  <c:v>61.496790701143745</c:v>
                </c:pt>
                <c:pt idx="6">
                  <c:v>61.885968874160199</c:v>
                </c:pt>
                <c:pt idx="7">
                  <c:v>62.146261166270733</c:v>
                </c:pt>
                <c:pt idx="8">
                  <c:v>62.316654086861547</c:v>
                </c:pt>
                <c:pt idx="9">
                  <c:v>62.422054708983666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61D-414A-996D-BF66463DB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841152"/>
        <c:axId val="173841728"/>
      </c:scatterChart>
      <c:valAx>
        <c:axId val="17384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Natural-Log-Transfomed Time</a:t>
                </a:r>
              </a:p>
            </c:rich>
          </c:tx>
          <c:layout>
            <c:manualLayout>
              <c:xMode val="edge"/>
              <c:yMode val="edge"/>
              <c:x val="0.28591287089290485"/>
              <c:y val="0.88511198945981551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73841728"/>
        <c:crosses val="autoZero"/>
        <c:crossBetween val="midCat"/>
      </c:valAx>
      <c:valAx>
        <c:axId val="173841728"/>
        <c:scaling>
          <c:orientation val="minMax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73841152"/>
        <c:crosses val="autoZero"/>
        <c:crossBetween val="midCat"/>
      </c:valAx>
    </c:plotArea>
    <c:legend>
      <c:legendPos val="t"/>
      <c:layout>
        <c:manualLayout>
          <c:xMode val="edge"/>
          <c:yMode val="edge"/>
          <c:x val="4.9999901983185109E-2"/>
          <c:y val="0.10434782608695653"/>
          <c:w val="0.89999997821848554"/>
          <c:h val="0.1273100743829946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Negative Linear Slopes of Log Time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9916492693110644E-2"/>
          <c:y val="0.21397694853360724"/>
          <c:w val="0.86858733472512173"/>
          <c:h val="0.5819650804518999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'Log Time'!$E$6</c:f>
              <c:strCache>
                <c:ptCount val="1"/>
                <c:pt idx="0">
                  <c:v> Positive Quadratic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'Log Time'!$F$2:$O$2</c:f>
              <c:numCache>
                <c:formatCode>General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'Log Time'!$F$6:$O$6</c:f>
              <c:numCache>
                <c:formatCode>General</c:formatCode>
                <c:ptCount val="10"/>
                <c:pt idx="0">
                  <c:v>50</c:v>
                </c:pt>
                <c:pt idx="1">
                  <c:v>44.029434222236951</c:v>
                </c:pt>
                <c:pt idx="2">
                  <c:v>41.427775034944062</c:v>
                </c:pt>
                <c:pt idx="3">
                  <c:v>39.980680500146704</c:v>
                </c:pt>
                <c:pt idx="4">
                  <c:v>39.086201663619462</c:v>
                </c:pt>
                <c:pt idx="5">
                  <c:v>38.503209298856255</c:v>
                </c:pt>
                <c:pt idx="6">
                  <c:v>38.114031125839816</c:v>
                </c:pt>
                <c:pt idx="7">
                  <c:v>37.853738833729267</c:v>
                </c:pt>
                <c:pt idx="8">
                  <c:v>37.68334591313846</c:v>
                </c:pt>
                <c:pt idx="9">
                  <c:v>37.577945291016334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271-4C50-8EC5-EFCA3750B326}"/>
            </c:ext>
          </c:extLst>
        </c:ser>
        <c:ser>
          <c:idx val="1"/>
          <c:order val="1"/>
          <c:tx>
            <c:strRef>
              <c:f>'Log Time'!$E$7</c:f>
              <c:strCache>
                <c:ptCount val="1"/>
                <c:pt idx="0">
                  <c:v> 0 Quadratic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'Log Time'!$F$2:$O$2</c:f>
              <c:numCache>
                <c:formatCode>General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'Log Time'!$F$7:$O$7</c:f>
              <c:numCache>
                <c:formatCode>General</c:formatCode>
                <c:ptCount val="10"/>
                <c:pt idx="0">
                  <c:v>50</c:v>
                </c:pt>
                <c:pt idx="1">
                  <c:v>43.06852819440055</c:v>
                </c:pt>
                <c:pt idx="2">
                  <c:v>39.013877113318898</c:v>
                </c:pt>
                <c:pt idx="3">
                  <c:v>36.137056388801092</c:v>
                </c:pt>
                <c:pt idx="4">
                  <c:v>33.905620875658997</c:v>
                </c:pt>
                <c:pt idx="5">
                  <c:v>32.082405307719455</c:v>
                </c:pt>
                <c:pt idx="6">
                  <c:v>30.540898509446869</c:v>
                </c:pt>
                <c:pt idx="7">
                  <c:v>29.205584583201642</c:v>
                </c:pt>
                <c:pt idx="8">
                  <c:v>28.027754226637803</c:v>
                </c:pt>
                <c:pt idx="9">
                  <c:v>26.974149070059539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271-4C50-8EC5-EFCA3750B326}"/>
            </c:ext>
          </c:extLst>
        </c:ser>
        <c:ser>
          <c:idx val="2"/>
          <c:order val="2"/>
          <c:tx>
            <c:strRef>
              <c:f>'Log Time'!$E$8</c:f>
              <c:strCache>
                <c:ptCount val="1"/>
                <c:pt idx="0">
                  <c:v>Negative Quadratic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'Log Time'!$F$2:$O$2</c:f>
              <c:numCache>
                <c:formatCode>General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'Log Time'!$F$8:$O$8</c:f>
              <c:numCache>
                <c:formatCode>General</c:formatCode>
                <c:ptCount val="10"/>
                <c:pt idx="0">
                  <c:v>50</c:v>
                </c:pt>
                <c:pt idx="1">
                  <c:v>42.107622166564148</c:v>
                </c:pt>
                <c:pt idx="2">
                  <c:v>36.599979191693734</c:v>
                </c:pt>
                <c:pt idx="3">
                  <c:v>32.29343227745548</c:v>
                </c:pt>
                <c:pt idx="4">
                  <c:v>28.725040087698527</c:v>
                </c:pt>
                <c:pt idx="5">
                  <c:v>25.661601316582654</c:v>
                </c:pt>
                <c:pt idx="6">
                  <c:v>22.967765893053926</c:v>
                </c:pt>
                <c:pt idx="7">
                  <c:v>20.557430332674016</c:v>
                </c:pt>
                <c:pt idx="8">
                  <c:v>18.372162540137147</c:v>
                </c:pt>
                <c:pt idx="9">
                  <c:v>16.370352849102741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271-4C50-8EC5-EFCA3750B3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43232"/>
        <c:axId val="206743808"/>
      </c:scatterChart>
      <c:valAx>
        <c:axId val="20674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Natural-Log-Transformed</a:t>
                </a:r>
                <a:r>
                  <a:rPr lang="en-US" sz="1200" b="1" baseline="0"/>
                  <a:t> </a:t>
                </a:r>
                <a:r>
                  <a:rPr lang="en-US" sz="1200" b="1"/>
                  <a:t>Time</a:t>
                </a:r>
              </a:p>
            </c:rich>
          </c:tx>
          <c:layout>
            <c:manualLayout>
              <c:xMode val="edge"/>
              <c:yMode val="edge"/>
              <c:x val="0.27716075156576203"/>
              <c:y val="0.91580649055749996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6743808"/>
        <c:crosses val="autoZero"/>
        <c:crossBetween val="midCat"/>
      </c:valAx>
      <c:valAx>
        <c:axId val="206743808"/>
        <c:scaling>
          <c:orientation val="minMax"/>
          <c:min val="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6743232"/>
        <c:crosses val="autoZero"/>
        <c:crossBetween val="midCat"/>
        <c:majorUnit val="10"/>
      </c:valAx>
    </c:plotArea>
    <c:legend>
      <c:legendPos val="t"/>
      <c:layout>
        <c:manualLayout>
          <c:xMode val="edge"/>
          <c:yMode val="edge"/>
          <c:x val="5.0000054794820795E-2"/>
          <c:y val="0.12015810276679842"/>
          <c:w val="0.89999989041035844"/>
          <c:h val="9.5689521023310811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641823683366548"/>
          <c:y val="4.8297291551965514E-2"/>
          <c:w val="0.59512408052851473"/>
          <c:h val="0.81761736445085231"/>
        </c:manualLayout>
      </c:layout>
      <c:lineChart>
        <c:grouping val="standard"/>
        <c:varyColors val="0"/>
        <c:ser>
          <c:idx val="1"/>
          <c:order val="0"/>
          <c:tx>
            <c:strRef>
              <c:f>Predictions!$L$21</c:f>
              <c:strCache>
                <c:ptCount val="1"/>
                <c:pt idx="0">
                  <c:v>Saturated Means, Unstructured Variance (Model 0)</c:v>
                </c:pt>
              </c:strCache>
            </c:strRef>
          </c:tx>
          <c:spPr>
            <a:ln w="19050">
              <a:solidFill>
                <a:srgbClr val="000000"/>
              </a:solidFill>
            </a:ln>
          </c:spPr>
          <c:marker>
            <c:symbol val="square"/>
            <c:size val="6"/>
            <c:spPr>
              <a:solidFill>
                <a:schemeClr val="tx1"/>
              </a:solidFill>
              <a:ln>
                <a:solidFill>
                  <a:srgbClr val="000000"/>
                </a:solidFill>
              </a:ln>
            </c:spPr>
          </c:marker>
          <c:val>
            <c:numRef>
              <c:f>Predictions!$M$21:$U$21</c:f>
              <c:numCache>
                <c:formatCode>#,##0</c:formatCode>
                <c:ptCount val="9"/>
                <c:pt idx="0">
                  <c:v>301985</c:v>
                </c:pt>
                <c:pt idx="1">
                  <c:v>259150</c:v>
                </c:pt>
                <c:pt idx="2">
                  <c:v>233368</c:v>
                </c:pt>
                <c:pt idx="3">
                  <c:v>217544</c:v>
                </c:pt>
                <c:pt idx="4">
                  <c:v>212098</c:v>
                </c:pt>
                <c:pt idx="5">
                  <c:v>196733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47-445A-B243-701DA957B774}"/>
            </c:ext>
          </c:extLst>
        </c:ser>
        <c:ser>
          <c:idx val="4"/>
          <c:order val="1"/>
          <c:tx>
            <c:strRef>
              <c:f>Predictions!$L$22</c:f>
              <c:strCache>
                <c:ptCount val="1"/>
                <c:pt idx="0">
                  <c:v>Random Quadratic Time (Model 3b)</c:v>
                </c:pt>
              </c:strCache>
            </c:strRef>
          </c:tx>
          <c:spPr>
            <a:ln w="22225">
              <a:solidFill>
                <a:srgbClr val="000000"/>
              </a:solidFill>
              <a:prstDash val="dashDot"/>
            </a:ln>
          </c:spPr>
          <c:marker>
            <c:symbol val="diamond"/>
            <c:size val="6"/>
            <c:spPr>
              <a:noFill/>
              <a:ln>
                <a:solidFill>
                  <a:srgbClr val="000000"/>
                </a:solidFill>
              </a:ln>
            </c:spPr>
          </c:marker>
          <c:val>
            <c:numRef>
              <c:f>Predictions!$M$22:$U$22</c:f>
              <c:numCache>
                <c:formatCode>#,##0</c:formatCode>
                <c:ptCount val="9"/>
                <c:pt idx="0">
                  <c:v>293604</c:v>
                </c:pt>
                <c:pt idx="1">
                  <c:v>249156.05000000002</c:v>
                </c:pt>
                <c:pt idx="2">
                  <c:v>233631.83999999997</c:v>
                </c:pt>
                <c:pt idx="3">
                  <c:v>223399.40999999995</c:v>
                </c:pt>
                <c:pt idx="4">
                  <c:v>209774.24</c:v>
                </c:pt>
                <c:pt idx="5">
                  <c:v>199019.24999999994</c:v>
                </c:pt>
                <c:pt idx="6">
                  <c:v>212344.7999999997</c:v>
                </c:pt>
                <c:pt idx="7">
                  <c:v>285908.68999999948</c:v>
                </c:pt>
                <c:pt idx="8">
                  <c:v>470816.15999999968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47-445A-B243-701DA957B774}"/>
            </c:ext>
          </c:extLst>
        </c:ser>
        <c:ser>
          <c:idx val="0"/>
          <c:order val="2"/>
          <c:tx>
            <c:strRef>
              <c:f>Predictions!$L$25</c:f>
              <c:strCache>
                <c:ptCount val="1"/>
                <c:pt idx="0">
                  <c:v>Piecewise Slope12 and Slope26 (Model 4c)</c:v>
                </c:pt>
              </c:strCache>
            </c:strRef>
          </c:tx>
          <c:spPr>
            <a:ln w="22225">
              <a:solidFill>
                <a:srgbClr val="000000"/>
              </a:solidFill>
              <a:prstDash val="sysDot"/>
            </a:ln>
          </c:spPr>
          <c:marker>
            <c:symbol val="circle"/>
            <c:size val="6"/>
            <c:spPr>
              <a:noFill/>
              <a:ln>
                <a:solidFill>
                  <a:srgbClr val="000000"/>
                </a:solidFill>
              </a:ln>
            </c:spPr>
          </c:marker>
          <c:val>
            <c:numRef>
              <c:f>Predictions!$M$25:$U$25</c:f>
              <c:numCache>
                <c:formatCode>#,##0</c:formatCode>
                <c:ptCount val="9"/>
                <c:pt idx="0">
                  <c:v>298995</c:v>
                </c:pt>
                <c:pt idx="1">
                  <c:v>254920</c:v>
                </c:pt>
                <c:pt idx="2">
                  <c:v>233176.37999999998</c:v>
                </c:pt>
                <c:pt idx="3">
                  <c:v>216580.48000000001</c:v>
                </c:pt>
                <c:pt idx="4">
                  <c:v>205132.3</c:v>
                </c:pt>
                <c:pt idx="5">
                  <c:v>198831.84</c:v>
                </c:pt>
                <c:pt idx="6">
                  <c:v>197679.1</c:v>
                </c:pt>
                <c:pt idx="7">
                  <c:v>201674.08000000002</c:v>
                </c:pt>
                <c:pt idx="8">
                  <c:v>210816.78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047-445A-B243-701DA957B774}"/>
            </c:ext>
          </c:extLst>
        </c:ser>
        <c:ser>
          <c:idx val="2"/>
          <c:order val="3"/>
          <c:tx>
            <c:strRef>
              <c:f>Predictions!$L$28</c:f>
              <c:strCache>
                <c:ptCount val="1"/>
                <c:pt idx="0">
                  <c:v>Random Asymptote, Random Amount, Fixed Rate (Model 6c)</c:v>
                </c:pt>
              </c:strCache>
            </c:strRef>
          </c:tx>
          <c:spPr>
            <a:ln w="22225">
              <a:solidFill>
                <a:srgbClr val="000000"/>
              </a:solidFill>
              <a:prstDash val="dash"/>
            </a:ln>
          </c:spPr>
          <c:marker>
            <c:symbol val="x"/>
            <c:size val="6"/>
            <c:spPr>
              <a:noFill/>
              <a:ln>
                <a:solidFill>
                  <a:srgbClr val="000000"/>
                </a:solidFill>
              </a:ln>
            </c:spPr>
          </c:marker>
          <c:val>
            <c:numRef>
              <c:f>Predictions!$M$28:$U$28</c:f>
              <c:numCache>
                <c:formatCode>#,##0</c:formatCode>
                <c:ptCount val="9"/>
                <c:pt idx="0">
                  <c:v>304415.12</c:v>
                </c:pt>
                <c:pt idx="1">
                  <c:v>237247.6660426278</c:v>
                </c:pt>
                <c:pt idx="2">
                  <c:v>220605.72748780335</c:v>
                </c:pt>
                <c:pt idx="3">
                  <c:v>216091.2972981557</c:v>
                </c:pt>
                <c:pt idx="4">
                  <c:v>214701.9458285507</c:v>
                </c:pt>
                <c:pt idx="5">
                  <c:v>214210.98800655414</c:v>
                </c:pt>
                <c:pt idx="6">
                  <c:v>214016.00713439481</c:v>
                </c:pt>
                <c:pt idx="7">
                  <c:v>213932.22502085482</c:v>
                </c:pt>
                <c:pt idx="8">
                  <c:v>213894.5565808847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047-445A-B243-701DA957B774}"/>
            </c:ext>
          </c:extLst>
        </c:ser>
        <c:ser>
          <c:idx val="3"/>
          <c:order val="4"/>
          <c:tx>
            <c:strRef>
              <c:f>Predictions!$L$40</c:f>
              <c:strCache>
                <c:ptCount val="1"/>
                <c:pt idx="0">
                  <c:v>Random Linear Log Time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Predictions!$M$40:$U$40</c:f>
              <c:numCache>
                <c:formatCode>#,##0</c:formatCode>
                <c:ptCount val="9"/>
                <c:pt idx="0">
                  <c:v>295486</c:v>
                </c:pt>
                <c:pt idx="1">
                  <c:v>245451.93965940608</c:v>
                </c:pt>
                <c:pt idx="2">
                  <c:v>226323.64505915254</c:v>
                </c:pt>
                <c:pt idx="3">
                  <c:v>217290.98323045226</c:v>
                </c:pt>
                <c:pt idx="4">
                  <c:v>212879.40258464374</c:v>
                </c:pt>
                <c:pt idx="5">
                  <c:v>210957.63419288534</c:v>
                </c:pt>
                <c:pt idx="6">
                  <c:v>210513.46034227283</c:v>
                </c:pt>
                <c:pt idx="7">
                  <c:v>211003.13071313844</c:v>
                </c:pt>
                <c:pt idx="8">
                  <c:v>212108.84850825867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047-445A-B243-701DA957B774}"/>
            </c:ext>
          </c:extLst>
        </c:ser>
        <c:ser>
          <c:idx val="5"/>
          <c:order val="5"/>
          <c:tx>
            <c:strRef>
              <c:f>Predictions!$L$41</c:f>
              <c:strCache>
                <c:ptCount val="1"/>
                <c:pt idx="0">
                  <c:v>Random Quadratic Log Time</c:v>
                </c:pt>
              </c:strCache>
            </c:strRef>
          </c:tx>
          <c:spPr>
            <a:ln>
              <a:solidFill>
                <a:srgbClr val="00B050"/>
              </a:solidFill>
              <a:prstDash val="dash"/>
            </a:ln>
          </c:spPr>
          <c:marker>
            <c:symbol val="none"/>
          </c:marker>
          <c:val>
            <c:numRef>
              <c:f>Predictions!$M$41:$U$41</c:f>
              <c:numCache>
                <c:formatCode>#,##0</c:formatCode>
                <c:ptCount val="9"/>
                <c:pt idx="0">
                  <c:v>299317</c:v>
                </c:pt>
                <c:pt idx="1">
                  <c:v>251559.82887283195</c:v>
                </c:pt>
                <c:pt idx="2">
                  <c:v>234755.63562119851</c:v>
                </c:pt>
                <c:pt idx="3">
                  <c:v>217740.25475268537</c:v>
                </c:pt>
                <c:pt idx="4">
                  <c:v>204938.46420830826</c:v>
                </c:pt>
                <c:pt idx="5">
                  <c:v>198740.870686365</c:v>
                </c:pt>
                <c:pt idx="6">
                  <c:v>199800.98929604085</c:v>
                </c:pt>
                <c:pt idx="7">
                  <c:v>207973.71908681386</c:v>
                </c:pt>
                <c:pt idx="8">
                  <c:v>222791.6839337647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047-445A-B243-701DA957B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417408"/>
        <c:axId val="206746112"/>
      </c:lineChart>
      <c:catAx>
        <c:axId val="206417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Session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206746112"/>
        <c:crosses val="autoZero"/>
        <c:auto val="1"/>
        <c:lblAlgn val="ctr"/>
        <c:lblOffset val="100"/>
        <c:noMultiLvlLbl val="0"/>
      </c:catAx>
      <c:valAx>
        <c:axId val="206746112"/>
        <c:scaling>
          <c:orientation val="minMax"/>
          <c:max val="325000"/>
          <c:min val="175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Response Time (milliseconds)</a:t>
                </a:r>
              </a:p>
            </c:rich>
          </c:tx>
          <c:layout>
            <c:manualLayout>
              <c:xMode val="edge"/>
              <c:yMode val="edge"/>
              <c:x val="1.5637567588088267E-2"/>
              <c:y val="0.231328161359534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206417408"/>
        <c:crosses val="autoZero"/>
        <c:crossBetween val="midCat"/>
        <c:majorUnit val="25000"/>
      </c:valAx>
    </c:plotArea>
    <c:legend>
      <c:legendPos val="r"/>
      <c:layout>
        <c:manualLayout>
          <c:xMode val="edge"/>
          <c:yMode val="edge"/>
          <c:x val="0.76440724030302731"/>
          <c:y val="0.16585999566962573"/>
          <c:w val="0.22483535360404566"/>
          <c:h val="0.748232929720246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6389057463292"/>
          <c:y val="4.8297291551965514E-2"/>
          <c:w val="0.60590341161585082"/>
          <c:h val="0.81761736445085231"/>
        </c:manualLayout>
      </c:layout>
      <c:lineChart>
        <c:grouping val="standard"/>
        <c:varyColors val="0"/>
        <c:ser>
          <c:idx val="1"/>
          <c:order val="0"/>
          <c:tx>
            <c:strRef>
              <c:f>Predictions!$L$3</c:f>
              <c:strCache>
                <c:ptCount val="1"/>
                <c:pt idx="0">
                  <c:v>Saturated Means, Unstructured Variance (Model 0)</c:v>
                </c:pt>
              </c:strCache>
            </c:strRef>
          </c:tx>
          <c:spPr>
            <a:ln w="19050">
              <a:solidFill>
                <a:srgbClr val="000000"/>
              </a:solidFill>
            </a:ln>
          </c:spPr>
          <c:marker>
            <c:symbol val="square"/>
            <c:size val="6"/>
            <c:spPr>
              <a:solidFill>
                <a:schemeClr val="tx1"/>
              </a:solidFill>
              <a:ln>
                <a:solidFill>
                  <a:srgbClr val="000000"/>
                </a:solidFill>
              </a:ln>
            </c:spPr>
          </c:marker>
          <c:val>
            <c:numRef>
              <c:f>Predictions!$M$3:$U$3</c:f>
              <c:numCache>
                <c:formatCode>#,##0</c:formatCode>
                <c:ptCount val="9"/>
                <c:pt idx="0">
                  <c:v>1962</c:v>
                </c:pt>
                <c:pt idx="1">
                  <c:v>1815</c:v>
                </c:pt>
                <c:pt idx="2">
                  <c:v>1750</c:v>
                </c:pt>
                <c:pt idx="3">
                  <c:v>1718</c:v>
                </c:pt>
                <c:pt idx="4">
                  <c:v>1707</c:v>
                </c:pt>
                <c:pt idx="5">
                  <c:v>1672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4E-4397-8306-72104F26A57B}"/>
            </c:ext>
          </c:extLst>
        </c:ser>
        <c:ser>
          <c:idx val="4"/>
          <c:order val="1"/>
          <c:tx>
            <c:strRef>
              <c:f>Predictions!$L$4</c:f>
              <c:strCache>
                <c:ptCount val="1"/>
                <c:pt idx="0">
                  <c:v>Random Quadratic Time (Model 3b)</c:v>
                </c:pt>
              </c:strCache>
            </c:strRef>
          </c:tx>
          <c:spPr>
            <a:ln w="22225">
              <a:solidFill>
                <a:srgbClr val="000000"/>
              </a:solidFill>
              <a:prstDash val="dashDot"/>
            </a:ln>
          </c:spPr>
          <c:marker>
            <c:symbol val="diamond"/>
            <c:size val="6"/>
            <c:spPr>
              <a:noFill/>
              <a:ln>
                <a:solidFill>
                  <a:srgbClr val="000000"/>
                </a:solidFill>
              </a:ln>
            </c:spPr>
          </c:marker>
          <c:val>
            <c:numRef>
              <c:f>Predictions!$M$4:$U$4</c:f>
              <c:numCache>
                <c:formatCode>#,##0</c:formatCode>
                <c:ptCount val="9"/>
                <c:pt idx="0">
                  <c:v>1945.85</c:v>
                </c:pt>
                <c:pt idx="1">
                  <c:v>1838.8155999999999</c:v>
                </c:pt>
                <c:pt idx="2">
                  <c:v>1759.5124000000001</c:v>
                </c:pt>
                <c:pt idx="3">
                  <c:v>1707.9404</c:v>
                </c:pt>
                <c:pt idx="4">
                  <c:v>1684.0996</c:v>
                </c:pt>
                <c:pt idx="5">
                  <c:v>1687.9899999999998</c:v>
                </c:pt>
                <c:pt idx="6">
                  <c:v>1719.6115999999997</c:v>
                </c:pt>
                <c:pt idx="7">
                  <c:v>1778.9643999999998</c:v>
                </c:pt>
                <c:pt idx="8">
                  <c:v>1866.0483999999999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4E-4397-8306-72104F26A57B}"/>
            </c:ext>
          </c:extLst>
        </c:ser>
        <c:ser>
          <c:idx val="2"/>
          <c:order val="2"/>
          <c:tx>
            <c:strRef>
              <c:f>Predictions!$L$12</c:f>
              <c:strCache>
                <c:ptCount val="1"/>
                <c:pt idx="0">
                  <c:v>Piecewise Slope12 and Slope26 (Model 4c)</c:v>
                </c:pt>
              </c:strCache>
            </c:strRef>
          </c:tx>
          <c:spPr>
            <a:ln w="22225">
              <a:solidFill>
                <a:srgbClr val="000000"/>
              </a:solidFill>
              <a:prstDash val="sysDot"/>
            </a:ln>
          </c:spPr>
          <c:marker>
            <c:symbol val="circle"/>
            <c:size val="6"/>
            <c:spPr>
              <a:noFill/>
              <a:ln>
                <a:solidFill>
                  <a:srgbClr val="000000"/>
                </a:solidFill>
              </a:ln>
            </c:spPr>
          </c:marker>
          <c:val>
            <c:numRef>
              <c:f>Predictions!$M$12:$U$12</c:f>
              <c:numCache>
                <c:formatCode>0</c:formatCode>
                <c:ptCount val="9"/>
                <c:pt idx="0">
                  <c:v>1961.89</c:v>
                </c:pt>
                <c:pt idx="1">
                  <c:v>1798.25</c:v>
                </c:pt>
                <c:pt idx="2">
                  <c:v>1765.3568</c:v>
                </c:pt>
                <c:pt idx="3">
                  <c:v>1732.4636</c:v>
                </c:pt>
                <c:pt idx="4">
                  <c:v>1699.5704000000001</c:v>
                </c:pt>
                <c:pt idx="5">
                  <c:v>1666.6772000000001</c:v>
                </c:pt>
                <c:pt idx="6">
                  <c:v>1633.7840000000001</c:v>
                </c:pt>
                <c:pt idx="7">
                  <c:v>1600.8908000000001</c:v>
                </c:pt>
                <c:pt idx="8">
                  <c:v>1567.9975999999999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4E-4397-8306-72104F26A57B}"/>
            </c:ext>
          </c:extLst>
        </c:ser>
        <c:ser>
          <c:idx val="0"/>
          <c:order val="3"/>
          <c:tx>
            <c:strRef>
              <c:f>Predictions!$L$6</c:f>
              <c:strCache>
                <c:ptCount val="1"/>
                <c:pt idx="0">
                  <c:v>Random Asymptote, Random Amount, Fixed Rate (Model 6c)</c:v>
                </c:pt>
              </c:strCache>
            </c:strRef>
          </c:tx>
          <c:spPr>
            <a:ln w="22225">
              <a:solidFill>
                <a:srgbClr val="000000"/>
              </a:solidFill>
              <a:prstDash val="sysDash"/>
            </a:ln>
          </c:spPr>
          <c:marker>
            <c:symbol val="star"/>
            <c:size val="7"/>
            <c:spPr>
              <a:noFill/>
              <a:ln>
                <a:solidFill>
                  <a:srgbClr val="000000"/>
                </a:solidFill>
              </a:ln>
            </c:spPr>
          </c:marker>
          <c:val>
            <c:numRef>
              <c:f>Predictions!$M$6:$U$6</c:f>
              <c:numCache>
                <c:formatCode>#,##0</c:formatCode>
                <c:ptCount val="9"/>
                <c:pt idx="0">
                  <c:v>1963.43</c:v>
                </c:pt>
                <c:pt idx="1">
                  <c:v>1815.2886388325242</c:v>
                </c:pt>
                <c:pt idx="2">
                  <c:v>1745.5421583128748</c:v>
                </c:pt>
                <c:pt idx="3">
                  <c:v>1712.7047960357834</c:v>
                </c:pt>
                <c:pt idx="4">
                  <c:v>1697.2446272461459</c:v>
                </c:pt>
                <c:pt idx="5">
                  <c:v>1689.9658203496849</c:v>
                </c:pt>
                <c:pt idx="6">
                  <c:v>1686.5388830014019</c:v>
                </c:pt>
                <c:pt idx="7">
                  <c:v>1684.9254455581352</c:v>
                </c:pt>
                <c:pt idx="8">
                  <c:v>1684.1658225715526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4E-4397-8306-72104F26A57B}"/>
            </c:ext>
          </c:extLst>
        </c:ser>
        <c:ser>
          <c:idx val="3"/>
          <c:order val="4"/>
          <c:tx>
            <c:strRef>
              <c:f>Predictions!$L$15</c:f>
              <c:strCache>
                <c:ptCount val="1"/>
                <c:pt idx="0">
                  <c:v>Random Linear Log Time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Predictions!$M$15:$U$15</c:f>
              <c:numCache>
                <c:formatCode>0</c:formatCode>
                <c:ptCount val="9"/>
                <c:pt idx="0">
                  <c:v>1942.55</c:v>
                </c:pt>
                <c:pt idx="1">
                  <c:v>1833.9199738626453</c:v>
                </c:pt>
                <c:pt idx="2">
                  <c:v>1770.3754821199338</c:v>
                </c:pt>
                <c:pt idx="3">
                  <c:v>1725.2899477252906</c:v>
                </c:pt>
                <c:pt idx="4">
                  <c:v>1690.3188903633277</c:v>
                </c:pt>
                <c:pt idx="5">
                  <c:v>1661.7454559825792</c:v>
                </c:pt>
                <c:pt idx="6">
                  <c:v>1637.5869614400513</c:v>
                </c:pt>
                <c:pt idx="7">
                  <c:v>1616.659921587936</c:v>
                </c:pt>
                <c:pt idx="8">
                  <c:v>1598.2009642398675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F4E-4397-8306-72104F26A57B}"/>
            </c:ext>
          </c:extLst>
        </c:ser>
        <c:ser>
          <c:idx val="5"/>
          <c:order val="5"/>
          <c:tx>
            <c:strRef>
              <c:f>Predictions!$L$16</c:f>
              <c:strCache>
                <c:ptCount val="1"/>
                <c:pt idx="0">
                  <c:v>Random Quadratic Log Time</c:v>
                </c:pt>
              </c:strCache>
            </c:strRef>
          </c:tx>
          <c:spPr>
            <a:ln w="25400">
              <a:solidFill>
                <a:srgbClr val="00B050"/>
              </a:solidFill>
              <a:prstDash val="dash"/>
            </a:ln>
          </c:spPr>
          <c:marker>
            <c:symbol val="none"/>
          </c:marker>
          <c:val>
            <c:numRef>
              <c:f>Predictions!$M$16:$U$16</c:f>
              <c:numCache>
                <c:formatCode>0</c:formatCode>
                <c:ptCount val="9"/>
                <c:pt idx="0">
                  <c:v>1960.96</c:v>
                </c:pt>
                <c:pt idx="1">
                  <c:v>1818.1634768939932</c:v>
                </c:pt>
                <c:pt idx="2">
                  <c:v>1756.8672718229418</c:v>
                </c:pt>
                <c:pt idx="3">
                  <c:v>1723.330193805029</c:v>
                </c:pt>
                <c:pt idx="4">
                  <c:v>1703.006452788597</c:v>
                </c:pt>
                <c:pt idx="5">
                  <c:v>1690.0906855570363</c:v>
                </c:pt>
                <c:pt idx="6">
                  <c:v>1681.7595016829048</c:v>
                </c:pt>
                <c:pt idx="7">
                  <c:v>1676.4601507331079</c:v>
                </c:pt>
                <c:pt idx="8">
                  <c:v>1673.2632928446349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F4E-4397-8306-72104F26A5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620096"/>
        <c:axId val="206748416"/>
      </c:lineChart>
      <c:catAx>
        <c:axId val="20762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Session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206748416"/>
        <c:crosses val="autoZero"/>
        <c:auto val="1"/>
        <c:lblAlgn val="ctr"/>
        <c:lblOffset val="100"/>
        <c:noMultiLvlLbl val="0"/>
      </c:catAx>
      <c:valAx>
        <c:axId val="206748416"/>
        <c:scaling>
          <c:orientation val="minMax"/>
          <c:max val="2000"/>
          <c:min val="15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Response Time (milliseconds)</a:t>
                </a:r>
              </a:p>
            </c:rich>
          </c:tx>
          <c:layout>
            <c:manualLayout>
              <c:xMode val="edge"/>
              <c:yMode val="edge"/>
              <c:x val="1.5637567588088267E-2"/>
              <c:y val="0.231328161359534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207620096"/>
        <c:crosses val="autoZero"/>
        <c:crossBetween val="midCat"/>
        <c:majorUnit val="100"/>
      </c:valAx>
    </c:plotArea>
    <c:legend>
      <c:legendPos val="r"/>
      <c:layout>
        <c:manualLayout>
          <c:xMode val="edge"/>
          <c:yMode val="edge"/>
          <c:x val="0.76169816485186359"/>
          <c:y val="0.16399617198714878"/>
          <c:w val="0.23830183514813638"/>
          <c:h val="0.7363712488891927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'Log Time Data Plots'!$B$2</c:f>
              <c:strCache>
                <c:ptCount val="1"/>
                <c:pt idx="0">
                  <c:v>Saturated</c:v>
                </c:pt>
              </c:strCache>
            </c:strRef>
          </c:tx>
          <c:spPr>
            <a:ln w="25400"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/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marker>
          <c:val>
            <c:numRef>
              <c:f>'Log Time Data Plots'!$B$3:$B$8</c:f>
              <c:numCache>
                <c:formatCode>0</c:formatCode>
                <c:ptCount val="6"/>
                <c:pt idx="0">
                  <c:v>1961.89</c:v>
                </c:pt>
                <c:pt idx="1">
                  <c:v>1815.17</c:v>
                </c:pt>
                <c:pt idx="2">
                  <c:v>1750.03</c:v>
                </c:pt>
                <c:pt idx="3">
                  <c:v>1717.8</c:v>
                </c:pt>
                <c:pt idx="4">
                  <c:v>1707.18</c:v>
                </c:pt>
                <c:pt idx="5">
                  <c:v>1672.14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F4-4C04-9175-EFF628868B63}"/>
            </c:ext>
          </c:extLst>
        </c:ser>
        <c:ser>
          <c:idx val="1"/>
          <c:order val="1"/>
          <c:tx>
            <c:strRef>
              <c:f>'Log Time Data Plots'!$C$2</c:f>
              <c:strCache>
                <c:ptCount val="1"/>
                <c:pt idx="0">
                  <c:v>Linear Log Time</c:v>
                </c:pt>
              </c:strCache>
            </c:strRef>
          </c:tx>
          <c:spPr>
            <a:ln>
              <a:solidFill>
                <a:srgbClr val="FFC000"/>
              </a:solidFill>
              <a:prstDash val="dash"/>
            </a:ln>
          </c:spPr>
          <c:marker>
            <c:symbol val="triangle"/>
            <c:size val="5"/>
            <c:spPr>
              <a:noFill/>
              <a:ln>
                <a:solidFill>
                  <a:srgbClr val="FFC000"/>
                </a:solidFill>
              </a:ln>
            </c:spPr>
          </c:marker>
          <c:val>
            <c:numRef>
              <c:f>'Log Time Data Plots'!$C$3:$C$8</c:f>
              <c:numCache>
                <c:formatCode>0</c:formatCode>
                <c:ptCount val="6"/>
                <c:pt idx="0">
                  <c:v>1942.55</c:v>
                </c:pt>
                <c:pt idx="1">
                  <c:v>1833.93</c:v>
                </c:pt>
                <c:pt idx="2">
                  <c:v>1770.38</c:v>
                </c:pt>
                <c:pt idx="3">
                  <c:v>1725.29</c:v>
                </c:pt>
                <c:pt idx="4">
                  <c:v>1690.33</c:v>
                </c:pt>
                <c:pt idx="5">
                  <c:v>1661.74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F4-4C04-9175-EFF628868B63}"/>
            </c:ext>
          </c:extLst>
        </c:ser>
        <c:ser>
          <c:idx val="2"/>
          <c:order val="2"/>
          <c:tx>
            <c:strRef>
              <c:f>'Log Time Data Plots'!$D$2</c:f>
              <c:strCache>
                <c:ptCount val="1"/>
                <c:pt idx="0">
                  <c:v>Quadratic Log Time</c:v>
                </c:pt>
              </c:strCache>
            </c:strRef>
          </c:tx>
          <c:spPr>
            <a:ln w="25400">
              <a:prstDash val="dash"/>
            </a:ln>
          </c:spPr>
          <c:val>
            <c:numRef>
              <c:f>'Log Time Data Plots'!$D$3:$D$8</c:f>
              <c:numCache>
                <c:formatCode>0</c:formatCode>
                <c:ptCount val="6"/>
                <c:pt idx="0">
                  <c:v>1960.96</c:v>
                </c:pt>
                <c:pt idx="1">
                  <c:v>1816.74</c:v>
                </c:pt>
                <c:pt idx="2">
                  <c:v>1753.25</c:v>
                </c:pt>
                <c:pt idx="3">
                  <c:v>1717.57</c:v>
                </c:pt>
                <c:pt idx="4">
                  <c:v>1695.25</c:v>
                </c:pt>
                <c:pt idx="5">
                  <c:v>1680.45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0F4-4C04-9175-EFF628868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494528"/>
        <c:axId val="206447744"/>
      </c:lineChart>
      <c:catAx>
        <c:axId val="185494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Session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206447744"/>
        <c:crosses val="autoZero"/>
        <c:auto val="1"/>
        <c:lblAlgn val="ctr"/>
        <c:lblOffset val="100"/>
        <c:noMultiLvlLbl val="0"/>
      </c:catAx>
      <c:valAx>
        <c:axId val="206447744"/>
        <c:scaling>
          <c:orientation val="minMax"/>
          <c:min val="16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Mean</a:t>
                </a:r>
                <a:r>
                  <a:rPr lang="en-US" baseline="0"/>
                  <a:t> RT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8.3333333333333332E-3"/>
              <c:y val="0.3955180081656459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185494528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'Log Time Data Plots'!$B$19</c:f>
              <c:strCache>
                <c:ptCount val="1"/>
                <c:pt idx="0">
                  <c:v>Unstructured</c:v>
                </c:pt>
              </c:strCache>
            </c:strRef>
          </c:tx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/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marker>
          <c:val>
            <c:numRef>
              <c:f>'Log Time Data Plots'!$B$20:$B$25</c:f>
              <c:numCache>
                <c:formatCode>0</c:formatCode>
                <c:ptCount val="6"/>
                <c:pt idx="0">
                  <c:v>301985</c:v>
                </c:pt>
                <c:pt idx="1">
                  <c:v>259150</c:v>
                </c:pt>
                <c:pt idx="2">
                  <c:v>233368</c:v>
                </c:pt>
                <c:pt idx="3">
                  <c:v>217544</c:v>
                </c:pt>
                <c:pt idx="4">
                  <c:v>212098</c:v>
                </c:pt>
                <c:pt idx="5">
                  <c:v>196733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A8-4DC8-8DA8-B3DE70117C53}"/>
            </c:ext>
          </c:extLst>
        </c:ser>
        <c:ser>
          <c:idx val="1"/>
          <c:order val="1"/>
          <c:tx>
            <c:strRef>
              <c:f>'Log Time Data Plots'!$C$19</c:f>
              <c:strCache>
                <c:ptCount val="1"/>
                <c:pt idx="0">
                  <c:v>Random Linear Log Time</c:v>
                </c:pt>
              </c:strCache>
            </c:strRef>
          </c:tx>
          <c:spPr>
            <a:ln>
              <a:solidFill>
                <a:srgbClr val="FFC000"/>
              </a:solidFill>
              <a:prstDash val="dash"/>
            </a:ln>
          </c:spPr>
          <c:marker>
            <c:symbol val="triangle"/>
            <c:size val="5"/>
            <c:spPr>
              <a:noFill/>
              <a:ln>
                <a:solidFill>
                  <a:srgbClr val="FFC000"/>
                </a:solidFill>
              </a:ln>
            </c:spPr>
          </c:marker>
          <c:val>
            <c:numRef>
              <c:f>'Log Time Data Plots'!$C$20:$C$25</c:f>
              <c:numCache>
                <c:formatCode>0</c:formatCode>
                <c:ptCount val="6"/>
                <c:pt idx="0">
                  <c:v>298372</c:v>
                </c:pt>
                <c:pt idx="1">
                  <c:v>247724</c:v>
                </c:pt>
                <c:pt idx="2">
                  <c:v>228387</c:v>
                </c:pt>
                <c:pt idx="3">
                  <c:v>219274</c:v>
                </c:pt>
                <c:pt idx="4">
                  <c:v>214838</c:v>
                </c:pt>
                <c:pt idx="5">
                  <c:v>212922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A8-4DC8-8DA8-B3DE70117C53}"/>
            </c:ext>
          </c:extLst>
        </c:ser>
        <c:ser>
          <c:idx val="2"/>
          <c:order val="2"/>
          <c:tx>
            <c:strRef>
              <c:f>'Log Time Data Plots'!$D$19</c:f>
              <c:strCache>
                <c:ptCount val="1"/>
                <c:pt idx="0">
                  <c:v>Random Quadratic Log Time</c:v>
                </c:pt>
              </c:strCache>
            </c:strRef>
          </c:tx>
          <c:val>
            <c:numRef>
              <c:f>'Log Time Data Plots'!$D$20:$D$25</c:f>
              <c:numCache>
                <c:formatCode>0</c:formatCode>
                <c:ptCount val="6"/>
                <c:pt idx="0">
                  <c:v>302304</c:v>
                </c:pt>
                <c:pt idx="1">
                  <c:v>253981</c:v>
                </c:pt>
                <c:pt idx="2">
                  <c:v>236995</c:v>
                </c:pt>
                <c:pt idx="3">
                  <c:v>219785</c:v>
                </c:pt>
                <c:pt idx="4">
                  <c:v>206863</c:v>
                </c:pt>
                <c:pt idx="5">
                  <c:v>200661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A8-4DC8-8DA8-B3DE70117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228928"/>
        <c:axId val="206450048"/>
      </c:lineChart>
      <c:catAx>
        <c:axId val="20722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Session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206450048"/>
        <c:crosses val="autoZero"/>
        <c:auto val="1"/>
        <c:lblAlgn val="ctr"/>
        <c:lblOffset val="100"/>
        <c:noMultiLvlLbl val="0"/>
      </c:catAx>
      <c:valAx>
        <c:axId val="206450048"/>
        <c:scaling>
          <c:orientation val="minMax"/>
          <c:min val="15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Variance in RT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2917169728783902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207228928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304800</xdr:colOff>
      <xdr:row>9</xdr:row>
      <xdr:rowOff>1039</xdr:rowOff>
    </xdr:from>
    <xdr:to>
      <xdr:col>6</xdr:col>
      <xdr:colOff>438149</xdr:colOff>
      <xdr:row>29</xdr:row>
      <xdr:rowOff>50916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419100</xdr:colOff>
      <xdr:row>9</xdr:row>
      <xdr:rowOff>1039</xdr:rowOff>
    </xdr:from>
    <xdr:to>
      <xdr:col>14</xdr:col>
      <xdr:colOff>104775</xdr:colOff>
      <xdr:row>29</xdr:row>
      <xdr:rowOff>50916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314325</xdr:colOff>
      <xdr:row>29</xdr:row>
      <xdr:rowOff>38100</xdr:rowOff>
    </xdr:from>
    <xdr:to>
      <xdr:col>6</xdr:col>
      <xdr:colOff>447674</xdr:colOff>
      <xdr:row>44</xdr:row>
      <xdr:rowOff>19050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428625</xdr:colOff>
      <xdr:row>29</xdr:row>
      <xdr:rowOff>57150</xdr:rowOff>
    </xdr:from>
    <xdr:to>
      <xdr:col>14</xdr:col>
      <xdr:colOff>114300</xdr:colOff>
      <xdr:row>44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133003</xdr:colOff>
      <xdr:row>24</xdr:row>
      <xdr:rowOff>116374</xdr:rowOff>
    </xdr:from>
    <xdr:to>
      <xdr:col>31</xdr:col>
      <xdr:colOff>665018</xdr:colOff>
      <xdr:row>49</xdr:row>
      <xdr:rowOff>66499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133003</xdr:colOff>
      <xdr:row>0</xdr:row>
      <xdr:rowOff>0</xdr:rowOff>
    </xdr:from>
    <xdr:to>
      <xdr:col>31</xdr:col>
      <xdr:colOff>665018</xdr:colOff>
      <xdr:row>24</xdr:row>
      <xdr:rowOff>99755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0.75537</cdr:x>
      <cdr:y>0.02588</cdr:y>
    </cdr:from>
    <cdr:to>
      <cdr:x>0.98173</cdr:x>
      <cdr:y>0.16878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229698" y="116540"/>
          <a:ext cx="1866900" cy="6434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Predicted Total</a:t>
          </a:r>
          <a:r>
            <a:rPr lang="en-US" sz="1200" b="1" baseline="0">
              <a:latin typeface="Times New Roman" pitchFamily="18" charset="0"/>
              <a:cs typeface="Times New Roman" pitchFamily="18" charset="0"/>
            </a:rPr>
            <a:t> Variance by Session by Model</a:t>
          </a:r>
          <a:br>
            <a:rPr lang="en-US" sz="1200" b="1" baseline="0">
              <a:latin typeface="Times New Roman" pitchFamily="18" charset="0"/>
              <a:cs typeface="Times New Roman" pitchFamily="18" charset="0"/>
            </a:rPr>
          </a:br>
          <a:r>
            <a:rPr lang="en-US" sz="1200" b="1" baseline="0">
              <a:latin typeface="Times New Roman" pitchFamily="18" charset="0"/>
              <a:cs typeface="Times New Roman" pitchFamily="18" charset="0"/>
            </a:rPr>
            <a:t>(from ML)</a:t>
          </a:r>
          <a:endParaRPr lang="en-US" sz="1200" b="1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0.5286</cdr:x>
      <cdr:y>0.01109</cdr:y>
    </cdr:from>
    <cdr:to>
      <cdr:x>0.53089</cdr:x>
      <cdr:y>0.98891</cdr:y>
    </cdr:to>
    <cdr:sp macro="" textlink="">
      <cdr:nvSpPr>
        <cdr:cNvPr id="4" name="Straight Connector 3"/>
        <cdr:cNvSpPr/>
      </cdr:nvSpPr>
      <cdr:spPr>
        <a:xfrm xmlns:a="http://schemas.openxmlformats.org/drawingml/2006/main" rot="5400000">
          <a:off x="1650079" y="2240287"/>
          <a:ext cx="4397431" cy="166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50000"/>
            </a:schemeClr>
          </a:solidFill>
          <a:prstDash val="lg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0.746</cdr:x>
      <cdr:y>0.02588</cdr:y>
    </cdr:from>
    <cdr:to>
      <cdr:x>1</cdr:x>
      <cdr:y>0.1679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419932" y="116602"/>
          <a:ext cx="1845393" cy="639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Predicted Means</a:t>
          </a:r>
          <a:r>
            <a:rPr lang="en-US" sz="1200" b="1" baseline="0">
              <a:latin typeface="Times New Roman" pitchFamily="18" charset="0"/>
              <a:cs typeface="Times New Roman" pitchFamily="18" charset="0"/>
            </a:rPr>
            <a:t> </a:t>
          </a:r>
          <a:br>
            <a:rPr lang="en-US" sz="1200" b="1" baseline="0">
              <a:latin typeface="Times New Roman" pitchFamily="18" charset="0"/>
              <a:cs typeface="Times New Roman" pitchFamily="18" charset="0"/>
            </a:rPr>
          </a:br>
          <a:r>
            <a:rPr lang="en-US" sz="1200" b="1" baseline="0">
              <a:latin typeface="Times New Roman" pitchFamily="18" charset="0"/>
              <a:cs typeface="Times New Roman" pitchFamily="18" charset="0"/>
            </a:rPr>
            <a:t>by Session by Model</a:t>
          </a:r>
          <a:br>
            <a:rPr lang="en-US" sz="1200" b="1" baseline="0">
              <a:latin typeface="Times New Roman" pitchFamily="18" charset="0"/>
              <a:cs typeface="Times New Roman" pitchFamily="18" charset="0"/>
            </a:rPr>
          </a:br>
          <a:r>
            <a:rPr lang="en-US" sz="1200" b="1" baseline="0">
              <a:latin typeface="Times New Roman" pitchFamily="18" charset="0"/>
              <a:cs typeface="Times New Roman" pitchFamily="18" charset="0"/>
            </a:rPr>
            <a:t>(from ML)</a:t>
          </a:r>
          <a:endParaRPr lang="en-US" sz="1200" b="1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0.5286</cdr:x>
      <cdr:y>0.01109</cdr:y>
    </cdr:from>
    <cdr:to>
      <cdr:x>0.53089</cdr:x>
      <cdr:y>0.98891</cdr:y>
    </cdr:to>
    <cdr:sp macro="" textlink="">
      <cdr:nvSpPr>
        <cdr:cNvPr id="4" name="Straight Connector 3"/>
        <cdr:cNvSpPr/>
      </cdr:nvSpPr>
      <cdr:spPr>
        <a:xfrm xmlns:a="http://schemas.openxmlformats.org/drawingml/2006/main" rot="5400000">
          <a:off x="1650079" y="2240287"/>
          <a:ext cx="4397431" cy="166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50000"/>
            </a:schemeClr>
          </a:solidFill>
          <a:prstDash val="lg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0</xdr:row>
      <xdr:rowOff>85725</xdr:rowOff>
    </xdr:from>
    <xdr:to>
      <xdr:col>11</xdr:col>
      <xdr:colOff>352425</xdr:colOff>
      <xdr:row>14</xdr:row>
      <xdr:rowOff>161925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66675</xdr:colOff>
      <xdr:row>15</xdr:row>
      <xdr:rowOff>57150</xdr:rowOff>
    </xdr:from>
    <xdr:to>
      <xdr:col>11</xdr:col>
      <xdr:colOff>371475</xdr:colOff>
      <xdr:row>28</xdr:row>
      <xdr:rowOff>133350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workbookViewId="0">
      <selection activeCell="K51" sqref="K51"/>
    </sheetView>
  </sheetViews>
  <sheetFormatPr defaultColWidth="9.109375" defaultRowHeight="13.8" x14ac:dyDescent="0.3"/>
  <cols>
    <col min="1" max="4" width="9.109375" style="89"/>
    <col min="5" max="5" width="39.44140625" style="89" bestFit="1" customWidth="1"/>
    <col min="6" max="9" width="9.109375" style="89"/>
    <col min="10" max="10" width="9.109375" style="89" customWidth="1"/>
    <col min="11" max="16384" width="9.109375" style="89"/>
  </cols>
  <sheetData>
    <row r="1" spans="1:15" x14ac:dyDescent="0.3">
      <c r="A1" s="90" t="s">
        <v>1</v>
      </c>
      <c r="B1" s="90" t="s">
        <v>78</v>
      </c>
      <c r="C1" s="90" t="s">
        <v>3</v>
      </c>
      <c r="D1" s="90"/>
      <c r="F1" s="90">
        <v>1</v>
      </c>
      <c r="G1" s="90">
        <v>2</v>
      </c>
      <c r="H1" s="90">
        <v>3</v>
      </c>
      <c r="I1" s="90">
        <v>4</v>
      </c>
      <c r="J1" s="90">
        <v>5</v>
      </c>
      <c r="K1" s="90">
        <v>6</v>
      </c>
      <c r="L1" s="90">
        <v>7</v>
      </c>
      <c r="M1" s="90">
        <v>8</v>
      </c>
      <c r="N1" s="90">
        <v>9</v>
      </c>
      <c r="O1" s="90">
        <v>10</v>
      </c>
    </row>
    <row r="2" spans="1:15" x14ac:dyDescent="0.3">
      <c r="A2" s="90"/>
      <c r="B2" s="90"/>
      <c r="C2" s="90"/>
      <c r="D2" s="90"/>
      <c r="F2" s="90">
        <f t="shared" ref="F2:O2" si="0">LN(F1)</f>
        <v>0</v>
      </c>
      <c r="G2" s="90">
        <f t="shared" si="0"/>
        <v>0.69314718055994529</v>
      </c>
      <c r="H2" s="90">
        <f t="shared" si="0"/>
        <v>1.0986122886681098</v>
      </c>
      <c r="I2" s="90">
        <f t="shared" si="0"/>
        <v>1.3862943611198906</v>
      </c>
      <c r="J2" s="90">
        <f t="shared" si="0"/>
        <v>1.6094379124341003</v>
      </c>
      <c r="K2" s="90">
        <f t="shared" si="0"/>
        <v>1.791759469228055</v>
      </c>
      <c r="L2" s="90">
        <f t="shared" si="0"/>
        <v>1.9459101490553132</v>
      </c>
      <c r="M2" s="90">
        <f t="shared" si="0"/>
        <v>2.0794415416798357</v>
      </c>
      <c r="N2" s="90">
        <f t="shared" si="0"/>
        <v>2.1972245773362196</v>
      </c>
      <c r="O2" s="90">
        <f t="shared" si="0"/>
        <v>2.3025850929940459</v>
      </c>
    </row>
    <row r="3" spans="1:15" x14ac:dyDescent="0.3">
      <c r="A3" s="89">
        <v>50</v>
      </c>
      <c r="B3" s="89">
        <v>10</v>
      </c>
      <c r="C3" s="89">
        <v>2</v>
      </c>
      <c r="E3" s="89" t="s">
        <v>77</v>
      </c>
      <c r="F3" s="89">
        <f t="shared" ref="F3:O8" si="1">$A3 + ($B3*F$2)+($C3*F$2*F$2)</f>
        <v>50</v>
      </c>
      <c r="G3" s="89">
        <f t="shared" si="1"/>
        <v>57.892377833435852</v>
      </c>
      <c r="H3" s="89">
        <f t="shared" si="1"/>
        <v>63.400020808306266</v>
      </c>
      <c r="I3" s="89">
        <f t="shared" si="1"/>
        <v>67.70656772254452</v>
      </c>
      <c r="J3" s="89">
        <f t="shared" si="1"/>
        <v>71.274959912301469</v>
      </c>
      <c r="K3" s="89">
        <f t="shared" si="1"/>
        <v>74.338398683417353</v>
      </c>
      <c r="L3" s="89">
        <f t="shared" si="1"/>
        <v>77.032234106946078</v>
      </c>
      <c r="M3" s="89">
        <f t="shared" si="1"/>
        <v>79.442569667325984</v>
      </c>
      <c r="N3" s="89">
        <f t="shared" si="1"/>
        <v>81.62783745986286</v>
      </c>
      <c r="O3" s="89">
        <f t="shared" si="1"/>
        <v>83.629647150897256</v>
      </c>
    </row>
    <row r="4" spans="1:15" x14ac:dyDescent="0.3">
      <c r="A4" s="89">
        <v>50</v>
      </c>
      <c r="B4" s="89">
        <v>10</v>
      </c>
      <c r="C4" s="89">
        <v>0</v>
      </c>
      <c r="E4" s="89" t="s">
        <v>76</v>
      </c>
      <c r="F4" s="89">
        <f t="shared" si="1"/>
        <v>50</v>
      </c>
      <c r="G4" s="89">
        <f t="shared" si="1"/>
        <v>56.93147180559945</v>
      </c>
      <c r="H4" s="89">
        <f t="shared" si="1"/>
        <v>60.986122886681102</v>
      </c>
      <c r="I4" s="89">
        <f t="shared" si="1"/>
        <v>63.862943611198908</v>
      </c>
      <c r="J4" s="89">
        <f t="shared" si="1"/>
        <v>66.094379124341003</v>
      </c>
      <c r="K4" s="89">
        <f t="shared" si="1"/>
        <v>67.917594692280545</v>
      </c>
      <c r="L4" s="89">
        <f t="shared" si="1"/>
        <v>69.459101490553138</v>
      </c>
      <c r="M4" s="89">
        <f t="shared" si="1"/>
        <v>70.794415416798358</v>
      </c>
      <c r="N4" s="89">
        <f t="shared" si="1"/>
        <v>71.972245773362204</v>
      </c>
      <c r="O4" s="89">
        <f t="shared" si="1"/>
        <v>73.025850929940461</v>
      </c>
    </row>
    <row r="5" spans="1:15" x14ac:dyDescent="0.3">
      <c r="A5" s="89">
        <v>50</v>
      </c>
      <c r="B5" s="89">
        <v>10</v>
      </c>
      <c r="C5" s="89">
        <v>-2</v>
      </c>
      <c r="E5" s="89" t="s">
        <v>75</v>
      </c>
      <c r="F5" s="89">
        <f t="shared" si="1"/>
        <v>50</v>
      </c>
      <c r="G5" s="89">
        <f t="shared" si="1"/>
        <v>55.970565777763049</v>
      </c>
      <c r="H5" s="89">
        <f t="shared" si="1"/>
        <v>58.572224965055938</v>
      </c>
      <c r="I5" s="89">
        <f t="shared" si="1"/>
        <v>60.019319499853296</v>
      </c>
      <c r="J5" s="89">
        <f t="shared" si="1"/>
        <v>60.913798336380538</v>
      </c>
      <c r="K5" s="89">
        <f t="shared" si="1"/>
        <v>61.496790701143745</v>
      </c>
      <c r="L5" s="89">
        <f t="shared" si="1"/>
        <v>61.885968874160199</v>
      </c>
      <c r="M5" s="89">
        <f t="shared" si="1"/>
        <v>62.146261166270733</v>
      </c>
      <c r="N5" s="89">
        <f t="shared" si="1"/>
        <v>62.316654086861547</v>
      </c>
      <c r="O5" s="89">
        <f t="shared" si="1"/>
        <v>62.422054708983666</v>
      </c>
    </row>
    <row r="6" spans="1:15" x14ac:dyDescent="0.3">
      <c r="A6" s="89">
        <v>50</v>
      </c>
      <c r="B6" s="89">
        <v>-10</v>
      </c>
      <c r="C6" s="89">
        <v>2</v>
      </c>
      <c r="E6" s="89" t="s">
        <v>77</v>
      </c>
      <c r="F6" s="89">
        <f t="shared" si="1"/>
        <v>50</v>
      </c>
      <c r="G6" s="89">
        <f t="shared" si="1"/>
        <v>44.029434222236951</v>
      </c>
      <c r="H6" s="89">
        <f t="shared" si="1"/>
        <v>41.427775034944062</v>
      </c>
      <c r="I6" s="89">
        <f t="shared" si="1"/>
        <v>39.980680500146704</v>
      </c>
      <c r="J6" s="89">
        <f t="shared" si="1"/>
        <v>39.086201663619462</v>
      </c>
      <c r="K6" s="89">
        <f t="shared" si="1"/>
        <v>38.503209298856255</v>
      </c>
      <c r="L6" s="89">
        <f t="shared" si="1"/>
        <v>38.114031125839816</v>
      </c>
      <c r="M6" s="89">
        <f t="shared" si="1"/>
        <v>37.853738833729267</v>
      </c>
      <c r="N6" s="89">
        <f t="shared" si="1"/>
        <v>37.68334591313846</v>
      </c>
      <c r="O6" s="89">
        <f t="shared" si="1"/>
        <v>37.577945291016334</v>
      </c>
    </row>
    <row r="7" spans="1:15" x14ac:dyDescent="0.3">
      <c r="A7" s="89">
        <v>50</v>
      </c>
      <c r="B7" s="89">
        <v>-10</v>
      </c>
      <c r="C7" s="89">
        <v>0</v>
      </c>
      <c r="E7" s="89" t="s">
        <v>76</v>
      </c>
      <c r="F7" s="89">
        <f t="shared" si="1"/>
        <v>50</v>
      </c>
      <c r="G7" s="89">
        <f t="shared" si="1"/>
        <v>43.06852819440055</v>
      </c>
      <c r="H7" s="89">
        <f t="shared" si="1"/>
        <v>39.013877113318898</v>
      </c>
      <c r="I7" s="89">
        <f t="shared" si="1"/>
        <v>36.137056388801092</v>
      </c>
      <c r="J7" s="89">
        <f t="shared" si="1"/>
        <v>33.905620875658997</v>
      </c>
      <c r="K7" s="89">
        <f t="shared" si="1"/>
        <v>32.082405307719455</v>
      </c>
      <c r="L7" s="89">
        <f t="shared" si="1"/>
        <v>30.540898509446869</v>
      </c>
      <c r="M7" s="89">
        <f t="shared" si="1"/>
        <v>29.205584583201642</v>
      </c>
      <c r="N7" s="89">
        <f t="shared" si="1"/>
        <v>28.027754226637803</v>
      </c>
      <c r="O7" s="89">
        <f t="shared" si="1"/>
        <v>26.974149070059539</v>
      </c>
    </row>
    <row r="8" spans="1:15" x14ac:dyDescent="0.3">
      <c r="A8" s="89">
        <v>50</v>
      </c>
      <c r="B8" s="89">
        <v>-10</v>
      </c>
      <c r="C8" s="89">
        <v>-2</v>
      </c>
      <c r="E8" s="89" t="s">
        <v>75</v>
      </c>
      <c r="F8" s="89">
        <f t="shared" si="1"/>
        <v>50</v>
      </c>
      <c r="G8" s="89">
        <f t="shared" si="1"/>
        <v>42.107622166564148</v>
      </c>
      <c r="H8" s="89">
        <f t="shared" si="1"/>
        <v>36.599979191693734</v>
      </c>
      <c r="I8" s="89">
        <f t="shared" si="1"/>
        <v>32.29343227745548</v>
      </c>
      <c r="J8" s="89">
        <f t="shared" si="1"/>
        <v>28.725040087698527</v>
      </c>
      <c r="K8" s="89">
        <f t="shared" si="1"/>
        <v>25.661601316582654</v>
      </c>
      <c r="L8" s="89">
        <f t="shared" si="1"/>
        <v>22.967765893053926</v>
      </c>
      <c r="M8" s="89">
        <f t="shared" si="1"/>
        <v>20.557430332674016</v>
      </c>
      <c r="N8" s="89">
        <f t="shared" si="1"/>
        <v>18.372162540137147</v>
      </c>
      <c r="O8" s="89">
        <f t="shared" si="1"/>
        <v>16.370352849102741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84"/>
  <sheetViews>
    <sheetView tabSelected="1" zoomScaleNormal="100" workbookViewId="0">
      <selection activeCell="L22" sqref="L22"/>
    </sheetView>
  </sheetViews>
  <sheetFormatPr defaultColWidth="11.5546875" defaultRowHeight="14.4" x14ac:dyDescent="0.3"/>
  <cols>
    <col min="1" max="1" width="8.109375" style="17" bestFit="1" customWidth="1"/>
    <col min="2" max="2" width="9.44140625" style="17" bestFit="1" customWidth="1"/>
    <col min="3" max="3" width="11.5546875" style="17" bestFit="1" customWidth="1"/>
    <col min="4" max="4" width="10.44140625" style="17" bestFit="1" customWidth="1"/>
    <col min="5" max="5" width="11.33203125" style="17" bestFit="1" customWidth="1"/>
    <col min="6" max="6" width="11.44140625" style="17" bestFit="1" customWidth="1"/>
    <col min="7" max="7" width="8.44140625" style="17" bestFit="1" customWidth="1"/>
    <col min="8" max="8" width="7.6640625" style="17" bestFit="1" customWidth="1"/>
    <col min="9" max="9" width="8" style="17" bestFit="1" customWidth="1"/>
    <col min="10" max="10" width="9.88671875" style="17" bestFit="1" customWidth="1"/>
    <col min="11" max="11" width="5.33203125" style="4" customWidth="1"/>
    <col min="12" max="12" width="42.44140625" style="24" customWidth="1"/>
    <col min="13" max="18" width="8.109375" style="17" customWidth="1"/>
    <col min="19" max="21" width="8.109375" style="4" customWidth="1"/>
    <col min="22" max="261" width="11.5546875" style="4"/>
    <col min="262" max="266" width="9.44140625" style="4" customWidth="1"/>
    <col min="267" max="267" width="3.109375" style="4" customWidth="1"/>
    <col min="268" max="268" width="39" style="4" bestFit="1" customWidth="1"/>
    <col min="269" max="274" width="9.88671875" style="4" customWidth="1"/>
    <col min="275" max="517" width="11.5546875" style="4"/>
    <col min="518" max="522" width="9.44140625" style="4" customWidth="1"/>
    <col min="523" max="523" width="3.109375" style="4" customWidth="1"/>
    <col min="524" max="524" width="39" style="4" bestFit="1" customWidth="1"/>
    <col min="525" max="530" width="9.88671875" style="4" customWidth="1"/>
    <col min="531" max="773" width="11.5546875" style="4"/>
    <col min="774" max="778" width="9.44140625" style="4" customWidth="1"/>
    <col min="779" max="779" width="3.109375" style="4" customWidth="1"/>
    <col min="780" max="780" width="39" style="4" bestFit="1" customWidth="1"/>
    <col min="781" max="786" width="9.88671875" style="4" customWidth="1"/>
    <col min="787" max="1029" width="11.5546875" style="4"/>
    <col min="1030" max="1034" width="9.44140625" style="4" customWidth="1"/>
    <col min="1035" max="1035" width="3.109375" style="4" customWidth="1"/>
    <col min="1036" max="1036" width="39" style="4" bestFit="1" customWidth="1"/>
    <col min="1037" max="1042" width="9.88671875" style="4" customWidth="1"/>
    <col min="1043" max="1285" width="11.5546875" style="4"/>
    <col min="1286" max="1290" width="9.44140625" style="4" customWidth="1"/>
    <col min="1291" max="1291" width="3.109375" style="4" customWidth="1"/>
    <col min="1292" max="1292" width="39" style="4" bestFit="1" customWidth="1"/>
    <col min="1293" max="1298" width="9.88671875" style="4" customWidth="1"/>
    <col min="1299" max="1541" width="11.5546875" style="4"/>
    <col min="1542" max="1546" width="9.44140625" style="4" customWidth="1"/>
    <col min="1547" max="1547" width="3.109375" style="4" customWidth="1"/>
    <col min="1548" max="1548" width="39" style="4" bestFit="1" customWidth="1"/>
    <col min="1549" max="1554" width="9.88671875" style="4" customWidth="1"/>
    <col min="1555" max="1797" width="11.5546875" style="4"/>
    <col min="1798" max="1802" width="9.44140625" style="4" customWidth="1"/>
    <col min="1803" max="1803" width="3.109375" style="4" customWidth="1"/>
    <col min="1804" max="1804" width="39" style="4" bestFit="1" customWidth="1"/>
    <col min="1805" max="1810" width="9.88671875" style="4" customWidth="1"/>
    <col min="1811" max="2053" width="11.5546875" style="4"/>
    <col min="2054" max="2058" width="9.44140625" style="4" customWidth="1"/>
    <col min="2059" max="2059" width="3.109375" style="4" customWidth="1"/>
    <col min="2060" max="2060" width="39" style="4" bestFit="1" customWidth="1"/>
    <col min="2061" max="2066" width="9.88671875" style="4" customWidth="1"/>
    <col min="2067" max="2309" width="11.5546875" style="4"/>
    <col min="2310" max="2314" width="9.44140625" style="4" customWidth="1"/>
    <col min="2315" max="2315" width="3.109375" style="4" customWidth="1"/>
    <col min="2316" max="2316" width="39" style="4" bestFit="1" customWidth="1"/>
    <col min="2317" max="2322" width="9.88671875" style="4" customWidth="1"/>
    <col min="2323" max="2565" width="11.5546875" style="4"/>
    <col min="2566" max="2570" width="9.44140625" style="4" customWidth="1"/>
    <col min="2571" max="2571" width="3.109375" style="4" customWidth="1"/>
    <col min="2572" max="2572" width="39" style="4" bestFit="1" customWidth="1"/>
    <col min="2573" max="2578" width="9.88671875" style="4" customWidth="1"/>
    <col min="2579" max="2821" width="11.5546875" style="4"/>
    <col min="2822" max="2826" width="9.44140625" style="4" customWidth="1"/>
    <col min="2827" max="2827" width="3.109375" style="4" customWidth="1"/>
    <col min="2828" max="2828" width="39" style="4" bestFit="1" customWidth="1"/>
    <col min="2829" max="2834" width="9.88671875" style="4" customWidth="1"/>
    <col min="2835" max="3077" width="11.5546875" style="4"/>
    <col min="3078" max="3082" width="9.44140625" style="4" customWidth="1"/>
    <col min="3083" max="3083" width="3.109375" style="4" customWidth="1"/>
    <col min="3084" max="3084" width="39" style="4" bestFit="1" customWidth="1"/>
    <col min="3085" max="3090" width="9.88671875" style="4" customWidth="1"/>
    <col min="3091" max="3333" width="11.5546875" style="4"/>
    <col min="3334" max="3338" width="9.44140625" style="4" customWidth="1"/>
    <col min="3339" max="3339" width="3.109375" style="4" customWidth="1"/>
    <col min="3340" max="3340" width="39" style="4" bestFit="1" customWidth="1"/>
    <col min="3341" max="3346" width="9.88671875" style="4" customWidth="1"/>
    <col min="3347" max="3589" width="11.5546875" style="4"/>
    <col min="3590" max="3594" width="9.44140625" style="4" customWidth="1"/>
    <col min="3595" max="3595" width="3.109375" style="4" customWidth="1"/>
    <col min="3596" max="3596" width="39" style="4" bestFit="1" customWidth="1"/>
    <col min="3597" max="3602" width="9.88671875" style="4" customWidth="1"/>
    <col min="3603" max="3845" width="11.5546875" style="4"/>
    <col min="3846" max="3850" width="9.44140625" style="4" customWidth="1"/>
    <col min="3851" max="3851" width="3.109375" style="4" customWidth="1"/>
    <col min="3852" max="3852" width="39" style="4" bestFit="1" customWidth="1"/>
    <col min="3853" max="3858" width="9.88671875" style="4" customWidth="1"/>
    <col min="3859" max="4101" width="11.5546875" style="4"/>
    <col min="4102" max="4106" width="9.44140625" style="4" customWidth="1"/>
    <col min="4107" max="4107" width="3.109375" style="4" customWidth="1"/>
    <col min="4108" max="4108" width="39" style="4" bestFit="1" customWidth="1"/>
    <col min="4109" max="4114" width="9.88671875" style="4" customWidth="1"/>
    <col min="4115" max="4357" width="11.5546875" style="4"/>
    <col min="4358" max="4362" width="9.44140625" style="4" customWidth="1"/>
    <col min="4363" max="4363" width="3.109375" style="4" customWidth="1"/>
    <col min="4364" max="4364" width="39" style="4" bestFit="1" customWidth="1"/>
    <col min="4365" max="4370" width="9.88671875" style="4" customWidth="1"/>
    <col min="4371" max="4613" width="11.5546875" style="4"/>
    <col min="4614" max="4618" width="9.44140625" style="4" customWidth="1"/>
    <col min="4619" max="4619" width="3.109375" style="4" customWidth="1"/>
    <col min="4620" max="4620" width="39" style="4" bestFit="1" customWidth="1"/>
    <col min="4621" max="4626" width="9.88671875" style="4" customWidth="1"/>
    <col min="4627" max="4869" width="11.5546875" style="4"/>
    <col min="4870" max="4874" width="9.44140625" style="4" customWidth="1"/>
    <col min="4875" max="4875" width="3.109375" style="4" customWidth="1"/>
    <col min="4876" max="4876" width="39" style="4" bestFit="1" customWidth="1"/>
    <col min="4877" max="4882" width="9.88671875" style="4" customWidth="1"/>
    <col min="4883" max="5125" width="11.5546875" style="4"/>
    <col min="5126" max="5130" width="9.44140625" style="4" customWidth="1"/>
    <col min="5131" max="5131" width="3.109375" style="4" customWidth="1"/>
    <col min="5132" max="5132" width="39" style="4" bestFit="1" customWidth="1"/>
    <col min="5133" max="5138" width="9.88671875" style="4" customWidth="1"/>
    <col min="5139" max="5381" width="11.5546875" style="4"/>
    <col min="5382" max="5386" width="9.44140625" style="4" customWidth="1"/>
    <col min="5387" max="5387" width="3.109375" style="4" customWidth="1"/>
    <col min="5388" max="5388" width="39" style="4" bestFit="1" customWidth="1"/>
    <col min="5389" max="5394" width="9.88671875" style="4" customWidth="1"/>
    <col min="5395" max="5637" width="11.5546875" style="4"/>
    <col min="5638" max="5642" width="9.44140625" style="4" customWidth="1"/>
    <col min="5643" max="5643" width="3.109375" style="4" customWidth="1"/>
    <col min="5644" max="5644" width="39" style="4" bestFit="1" customWidth="1"/>
    <col min="5645" max="5650" width="9.88671875" style="4" customWidth="1"/>
    <col min="5651" max="5893" width="11.5546875" style="4"/>
    <col min="5894" max="5898" width="9.44140625" style="4" customWidth="1"/>
    <col min="5899" max="5899" width="3.109375" style="4" customWidth="1"/>
    <col min="5900" max="5900" width="39" style="4" bestFit="1" customWidth="1"/>
    <col min="5901" max="5906" width="9.88671875" style="4" customWidth="1"/>
    <col min="5907" max="6149" width="11.5546875" style="4"/>
    <col min="6150" max="6154" width="9.44140625" style="4" customWidth="1"/>
    <col min="6155" max="6155" width="3.109375" style="4" customWidth="1"/>
    <col min="6156" max="6156" width="39" style="4" bestFit="1" customWidth="1"/>
    <col min="6157" max="6162" width="9.88671875" style="4" customWidth="1"/>
    <col min="6163" max="6405" width="11.5546875" style="4"/>
    <col min="6406" max="6410" width="9.44140625" style="4" customWidth="1"/>
    <col min="6411" max="6411" width="3.109375" style="4" customWidth="1"/>
    <col min="6412" max="6412" width="39" style="4" bestFit="1" customWidth="1"/>
    <col min="6413" max="6418" width="9.88671875" style="4" customWidth="1"/>
    <col min="6419" max="6661" width="11.5546875" style="4"/>
    <col min="6662" max="6666" width="9.44140625" style="4" customWidth="1"/>
    <col min="6667" max="6667" width="3.109375" style="4" customWidth="1"/>
    <col min="6668" max="6668" width="39" style="4" bestFit="1" customWidth="1"/>
    <col min="6669" max="6674" width="9.88671875" style="4" customWidth="1"/>
    <col min="6675" max="6917" width="11.5546875" style="4"/>
    <col min="6918" max="6922" width="9.44140625" style="4" customWidth="1"/>
    <col min="6923" max="6923" width="3.109375" style="4" customWidth="1"/>
    <col min="6924" max="6924" width="39" style="4" bestFit="1" customWidth="1"/>
    <col min="6925" max="6930" width="9.88671875" style="4" customWidth="1"/>
    <col min="6931" max="7173" width="11.5546875" style="4"/>
    <col min="7174" max="7178" width="9.44140625" style="4" customWidth="1"/>
    <col min="7179" max="7179" width="3.109375" style="4" customWidth="1"/>
    <col min="7180" max="7180" width="39" style="4" bestFit="1" customWidth="1"/>
    <col min="7181" max="7186" width="9.88671875" style="4" customWidth="1"/>
    <col min="7187" max="7429" width="11.5546875" style="4"/>
    <col min="7430" max="7434" width="9.44140625" style="4" customWidth="1"/>
    <col min="7435" max="7435" width="3.109375" style="4" customWidth="1"/>
    <col min="7436" max="7436" width="39" style="4" bestFit="1" customWidth="1"/>
    <col min="7437" max="7442" width="9.88671875" style="4" customWidth="1"/>
    <col min="7443" max="7685" width="11.5546875" style="4"/>
    <col min="7686" max="7690" width="9.44140625" style="4" customWidth="1"/>
    <col min="7691" max="7691" width="3.109375" style="4" customWidth="1"/>
    <col min="7692" max="7692" width="39" style="4" bestFit="1" customWidth="1"/>
    <col min="7693" max="7698" width="9.88671875" style="4" customWidth="1"/>
    <col min="7699" max="7941" width="11.5546875" style="4"/>
    <col min="7942" max="7946" width="9.44140625" style="4" customWidth="1"/>
    <col min="7947" max="7947" width="3.109375" style="4" customWidth="1"/>
    <col min="7948" max="7948" width="39" style="4" bestFit="1" customWidth="1"/>
    <col min="7949" max="7954" width="9.88671875" style="4" customWidth="1"/>
    <col min="7955" max="8197" width="11.5546875" style="4"/>
    <col min="8198" max="8202" width="9.44140625" style="4" customWidth="1"/>
    <col min="8203" max="8203" width="3.109375" style="4" customWidth="1"/>
    <col min="8204" max="8204" width="39" style="4" bestFit="1" customWidth="1"/>
    <col min="8205" max="8210" width="9.88671875" style="4" customWidth="1"/>
    <col min="8211" max="8453" width="11.5546875" style="4"/>
    <col min="8454" max="8458" width="9.44140625" style="4" customWidth="1"/>
    <col min="8459" max="8459" width="3.109375" style="4" customWidth="1"/>
    <col min="8460" max="8460" width="39" style="4" bestFit="1" customWidth="1"/>
    <col min="8461" max="8466" width="9.88671875" style="4" customWidth="1"/>
    <col min="8467" max="8709" width="11.5546875" style="4"/>
    <col min="8710" max="8714" width="9.44140625" style="4" customWidth="1"/>
    <col min="8715" max="8715" width="3.109375" style="4" customWidth="1"/>
    <col min="8716" max="8716" width="39" style="4" bestFit="1" customWidth="1"/>
    <col min="8717" max="8722" width="9.88671875" style="4" customWidth="1"/>
    <col min="8723" max="8965" width="11.5546875" style="4"/>
    <col min="8966" max="8970" width="9.44140625" style="4" customWidth="1"/>
    <col min="8971" max="8971" width="3.109375" style="4" customWidth="1"/>
    <col min="8972" max="8972" width="39" style="4" bestFit="1" customWidth="1"/>
    <col min="8973" max="8978" width="9.88671875" style="4" customWidth="1"/>
    <col min="8979" max="9221" width="11.5546875" style="4"/>
    <col min="9222" max="9226" width="9.44140625" style="4" customWidth="1"/>
    <col min="9227" max="9227" width="3.109375" style="4" customWidth="1"/>
    <col min="9228" max="9228" width="39" style="4" bestFit="1" customWidth="1"/>
    <col min="9229" max="9234" width="9.88671875" style="4" customWidth="1"/>
    <col min="9235" max="9477" width="11.5546875" style="4"/>
    <col min="9478" max="9482" width="9.44140625" style="4" customWidth="1"/>
    <col min="9483" max="9483" width="3.109375" style="4" customWidth="1"/>
    <col min="9484" max="9484" width="39" style="4" bestFit="1" customWidth="1"/>
    <col min="9485" max="9490" width="9.88671875" style="4" customWidth="1"/>
    <col min="9491" max="9733" width="11.5546875" style="4"/>
    <col min="9734" max="9738" width="9.44140625" style="4" customWidth="1"/>
    <col min="9739" max="9739" width="3.109375" style="4" customWidth="1"/>
    <col min="9740" max="9740" width="39" style="4" bestFit="1" customWidth="1"/>
    <col min="9741" max="9746" width="9.88671875" style="4" customWidth="1"/>
    <col min="9747" max="9989" width="11.5546875" style="4"/>
    <col min="9990" max="9994" width="9.44140625" style="4" customWidth="1"/>
    <col min="9995" max="9995" width="3.109375" style="4" customWidth="1"/>
    <col min="9996" max="9996" width="39" style="4" bestFit="1" customWidth="1"/>
    <col min="9997" max="10002" width="9.88671875" style="4" customWidth="1"/>
    <col min="10003" max="10245" width="11.5546875" style="4"/>
    <col min="10246" max="10250" width="9.44140625" style="4" customWidth="1"/>
    <col min="10251" max="10251" width="3.109375" style="4" customWidth="1"/>
    <col min="10252" max="10252" width="39" style="4" bestFit="1" customWidth="1"/>
    <col min="10253" max="10258" width="9.88671875" style="4" customWidth="1"/>
    <col min="10259" max="10501" width="11.5546875" style="4"/>
    <col min="10502" max="10506" width="9.44140625" style="4" customWidth="1"/>
    <col min="10507" max="10507" width="3.109375" style="4" customWidth="1"/>
    <col min="10508" max="10508" width="39" style="4" bestFit="1" customWidth="1"/>
    <col min="10509" max="10514" width="9.88671875" style="4" customWidth="1"/>
    <col min="10515" max="10757" width="11.5546875" style="4"/>
    <col min="10758" max="10762" width="9.44140625" style="4" customWidth="1"/>
    <col min="10763" max="10763" width="3.109375" style="4" customWidth="1"/>
    <col min="10764" max="10764" width="39" style="4" bestFit="1" customWidth="1"/>
    <col min="10765" max="10770" width="9.88671875" style="4" customWidth="1"/>
    <col min="10771" max="11013" width="11.5546875" style="4"/>
    <col min="11014" max="11018" width="9.44140625" style="4" customWidth="1"/>
    <col min="11019" max="11019" width="3.109375" style="4" customWidth="1"/>
    <col min="11020" max="11020" width="39" style="4" bestFit="1" customWidth="1"/>
    <col min="11021" max="11026" width="9.88671875" style="4" customWidth="1"/>
    <col min="11027" max="11269" width="11.5546875" style="4"/>
    <col min="11270" max="11274" width="9.44140625" style="4" customWidth="1"/>
    <col min="11275" max="11275" width="3.109375" style="4" customWidth="1"/>
    <col min="11276" max="11276" width="39" style="4" bestFit="1" customWidth="1"/>
    <col min="11277" max="11282" width="9.88671875" style="4" customWidth="1"/>
    <col min="11283" max="11525" width="11.5546875" style="4"/>
    <col min="11526" max="11530" width="9.44140625" style="4" customWidth="1"/>
    <col min="11531" max="11531" width="3.109375" style="4" customWidth="1"/>
    <col min="11532" max="11532" width="39" style="4" bestFit="1" customWidth="1"/>
    <col min="11533" max="11538" width="9.88671875" style="4" customWidth="1"/>
    <col min="11539" max="11781" width="11.5546875" style="4"/>
    <col min="11782" max="11786" width="9.44140625" style="4" customWidth="1"/>
    <col min="11787" max="11787" width="3.109375" style="4" customWidth="1"/>
    <col min="11788" max="11788" width="39" style="4" bestFit="1" customWidth="1"/>
    <col min="11789" max="11794" width="9.88671875" style="4" customWidth="1"/>
    <col min="11795" max="12037" width="11.5546875" style="4"/>
    <col min="12038" max="12042" width="9.44140625" style="4" customWidth="1"/>
    <col min="12043" max="12043" width="3.109375" style="4" customWidth="1"/>
    <col min="12044" max="12044" width="39" style="4" bestFit="1" customWidth="1"/>
    <col min="12045" max="12050" width="9.88671875" style="4" customWidth="1"/>
    <col min="12051" max="12293" width="11.5546875" style="4"/>
    <col min="12294" max="12298" width="9.44140625" style="4" customWidth="1"/>
    <col min="12299" max="12299" width="3.109375" style="4" customWidth="1"/>
    <col min="12300" max="12300" width="39" style="4" bestFit="1" customWidth="1"/>
    <col min="12301" max="12306" width="9.88671875" style="4" customWidth="1"/>
    <col min="12307" max="12549" width="11.5546875" style="4"/>
    <col min="12550" max="12554" width="9.44140625" style="4" customWidth="1"/>
    <col min="12555" max="12555" width="3.109375" style="4" customWidth="1"/>
    <col min="12556" max="12556" width="39" style="4" bestFit="1" customWidth="1"/>
    <col min="12557" max="12562" width="9.88671875" style="4" customWidth="1"/>
    <col min="12563" max="12805" width="11.5546875" style="4"/>
    <col min="12806" max="12810" width="9.44140625" style="4" customWidth="1"/>
    <col min="12811" max="12811" width="3.109375" style="4" customWidth="1"/>
    <col min="12812" max="12812" width="39" style="4" bestFit="1" customWidth="1"/>
    <col min="12813" max="12818" width="9.88671875" style="4" customWidth="1"/>
    <col min="12819" max="13061" width="11.5546875" style="4"/>
    <col min="13062" max="13066" width="9.44140625" style="4" customWidth="1"/>
    <col min="13067" max="13067" width="3.109375" style="4" customWidth="1"/>
    <col min="13068" max="13068" width="39" style="4" bestFit="1" customWidth="1"/>
    <col min="13069" max="13074" width="9.88671875" style="4" customWidth="1"/>
    <col min="13075" max="13317" width="11.5546875" style="4"/>
    <col min="13318" max="13322" width="9.44140625" style="4" customWidth="1"/>
    <col min="13323" max="13323" width="3.109375" style="4" customWidth="1"/>
    <col min="13324" max="13324" width="39" style="4" bestFit="1" customWidth="1"/>
    <col min="13325" max="13330" width="9.88671875" style="4" customWidth="1"/>
    <col min="13331" max="13573" width="11.5546875" style="4"/>
    <col min="13574" max="13578" width="9.44140625" style="4" customWidth="1"/>
    <col min="13579" max="13579" width="3.109375" style="4" customWidth="1"/>
    <col min="13580" max="13580" width="39" style="4" bestFit="1" customWidth="1"/>
    <col min="13581" max="13586" width="9.88671875" style="4" customWidth="1"/>
    <col min="13587" max="13829" width="11.5546875" style="4"/>
    <col min="13830" max="13834" width="9.44140625" style="4" customWidth="1"/>
    <col min="13835" max="13835" width="3.109375" style="4" customWidth="1"/>
    <col min="13836" max="13836" width="39" style="4" bestFit="1" customWidth="1"/>
    <col min="13837" max="13842" width="9.88671875" style="4" customWidth="1"/>
    <col min="13843" max="14085" width="11.5546875" style="4"/>
    <col min="14086" max="14090" width="9.44140625" style="4" customWidth="1"/>
    <col min="14091" max="14091" width="3.109375" style="4" customWidth="1"/>
    <col min="14092" max="14092" width="39" style="4" bestFit="1" customWidth="1"/>
    <col min="14093" max="14098" width="9.88671875" style="4" customWidth="1"/>
    <col min="14099" max="14341" width="11.5546875" style="4"/>
    <col min="14342" max="14346" width="9.44140625" style="4" customWidth="1"/>
    <col min="14347" max="14347" width="3.109375" style="4" customWidth="1"/>
    <col min="14348" max="14348" width="39" style="4" bestFit="1" customWidth="1"/>
    <col min="14349" max="14354" width="9.88671875" style="4" customWidth="1"/>
    <col min="14355" max="14597" width="11.5546875" style="4"/>
    <col min="14598" max="14602" width="9.44140625" style="4" customWidth="1"/>
    <col min="14603" max="14603" width="3.109375" style="4" customWidth="1"/>
    <col min="14604" max="14604" width="39" style="4" bestFit="1" customWidth="1"/>
    <col min="14605" max="14610" width="9.88671875" style="4" customWidth="1"/>
    <col min="14611" max="14853" width="11.5546875" style="4"/>
    <col min="14854" max="14858" width="9.44140625" style="4" customWidth="1"/>
    <col min="14859" max="14859" width="3.109375" style="4" customWidth="1"/>
    <col min="14860" max="14860" width="39" style="4" bestFit="1" customWidth="1"/>
    <col min="14861" max="14866" width="9.88671875" style="4" customWidth="1"/>
    <col min="14867" max="15109" width="11.5546875" style="4"/>
    <col min="15110" max="15114" width="9.44140625" style="4" customWidth="1"/>
    <col min="15115" max="15115" width="3.109375" style="4" customWidth="1"/>
    <col min="15116" max="15116" width="39" style="4" bestFit="1" customWidth="1"/>
    <col min="15117" max="15122" width="9.88671875" style="4" customWidth="1"/>
    <col min="15123" max="15365" width="11.5546875" style="4"/>
    <col min="15366" max="15370" width="9.44140625" style="4" customWidth="1"/>
    <col min="15371" max="15371" width="3.109375" style="4" customWidth="1"/>
    <col min="15372" max="15372" width="39" style="4" bestFit="1" customWidth="1"/>
    <col min="15373" max="15378" width="9.88671875" style="4" customWidth="1"/>
    <col min="15379" max="15621" width="11.5546875" style="4"/>
    <col min="15622" max="15626" width="9.44140625" style="4" customWidth="1"/>
    <col min="15627" max="15627" width="3.109375" style="4" customWidth="1"/>
    <col min="15628" max="15628" width="39" style="4" bestFit="1" customWidth="1"/>
    <col min="15629" max="15634" width="9.88671875" style="4" customWidth="1"/>
    <col min="15635" max="15877" width="11.5546875" style="4"/>
    <col min="15878" max="15882" width="9.44140625" style="4" customWidth="1"/>
    <col min="15883" max="15883" width="3.109375" style="4" customWidth="1"/>
    <col min="15884" max="15884" width="39" style="4" bestFit="1" customWidth="1"/>
    <col min="15885" max="15890" width="9.88671875" style="4" customWidth="1"/>
    <col min="15891" max="16133" width="11.5546875" style="4"/>
    <col min="16134" max="16138" width="9.44140625" style="4" customWidth="1"/>
    <col min="16139" max="16139" width="3.109375" style="4" customWidth="1"/>
    <col min="16140" max="16140" width="39" style="4" bestFit="1" customWidth="1"/>
    <col min="16141" max="16146" width="9.88671875" style="4" customWidth="1"/>
    <col min="16147" max="16384" width="11.5546875" style="4"/>
  </cols>
  <sheetData>
    <row r="1" spans="1:21" x14ac:dyDescent="0.3">
      <c r="A1" s="96" t="s">
        <v>0</v>
      </c>
      <c r="B1" s="96"/>
      <c r="C1" s="96"/>
      <c r="D1" s="96"/>
      <c r="E1" s="96"/>
      <c r="F1" s="96"/>
      <c r="G1" s="96"/>
      <c r="H1" s="96"/>
      <c r="I1" s="31"/>
      <c r="J1" s="31"/>
      <c r="K1" s="1"/>
      <c r="L1" s="30" t="s">
        <v>42</v>
      </c>
      <c r="M1" s="3">
        <v>0</v>
      </c>
      <c r="N1" s="3">
        <v>1</v>
      </c>
      <c r="O1" s="3">
        <v>2</v>
      </c>
      <c r="P1" s="3">
        <v>3</v>
      </c>
      <c r="Q1" s="3">
        <v>4</v>
      </c>
      <c r="R1" s="3">
        <v>5</v>
      </c>
      <c r="S1" s="3">
        <v>6</v>
      </c>
      <c r="T1" s="3">
        <v>7</v>
      </c>
      <c r="U1" s="3">
        <v>8</v>
      </c>
    </row>
    <row r="2" spans="1:21" x14ac:dyDescent="0.3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43</v>
      </c>
      <c r="J2" s="5" t="s">
        <v>59</v>
      </c>
      <c r="K2" s="5"/>
      <c r="L2" s="6" t="s">
        <v>9</v>
      </c>
      <c r="M2" s="7">
        <v>1</v>
      </c>
      <c r="N2" s="7">
        <v>2</v>
      </c>
      <c r="O2" s="7">
        <v>3</v>
      </c>
      <c r="P2" s="7">
        <v>4</v>
      </c>
      <c r="Q2" s="7">
        <v>5</v>
      </c>
      <c r="R2" s="7">
        <v>6</v>
      </c>
      <c r="S2" s="7">
        <v>7</v>
      </c>
      <c r="T2" s="7">
        <v>8</v>
      </c>
      <c r="U2" s="7">
        <v>9</v>
      </c>
    </row>
    <row r="3" spans="1:2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1"/>
      <c r="L3" s="2" t="s">
        <v>10</v>
      </c>
      <c r="M3" s="8">
        <v>1962</v>
      </c>
      <c r="N3" s="8">
        <v>1815</v>
      </c>
      <c r="O3" s="8">
        <v>1750</v>
      </c>
      <c r="P3" s="8">
        <v>1718</v>
      </c>
      <c r="Q3" s="8">
        <v>1707</v>
      </c>
      <c r="R3" s="8">
        <v>1672</v>
      </c>
      <c r="S3" s="8"/>
      <c r="T3" s="8"/>
      <c r="U3" s="8"/>
    </row>
    <row r="4" spans="1:21" x14ac:dyDescent="0.3">
      <c r="A4" s="9">
        <v>1945.85</v>
      </c>
      <c r="B4" s="9">
        <v>-120.9</v>
      </c>
      <c r="C4" s="9">
        <v>13.865600000000001</v>
      </c>
      <c r="D4" s="3"/>
      <c r="E4" s="3"/>
      <c r="F4" s="3"/>
      <c r="G4" s="3"/>
      <c r="H4" s="3"/>
      <c r="I4" s="3"/>
      <c r="J4" s="3"/>
      <c r="K4" s="1"/>
      <c r="L4" s="2" t="s">
        <v>11</v>
      </c>
      <c r="M4" s="8">
        <f t="shared" ref="M4:U4" si="0">$A4 + ($B4*M$1) + ($C4*M$1*M$1)</f>
        <v>1945.85</v>
      </c>
      <c r="N4" s="8">
        <f t="shared" si="0"/>
        <v>1838.8155999999999</v>
      </c>
      <c r="O4" s="8">
        <f t="shared" si="0"/>
        <v>1759.5124000000001</v>
      </c>
      <c r="P4" s="8">
        <f t="shared" si="0"/>
        <v>1707.9404</v>
      </c>
      <c r="Q4" s="8">
        <f t="shared" si="0"/>
        <v>1684.0996</v>
      </c>
      <c r="R4" s="8">
        <f t="shared" si="0"/>
        <v>1687.9899999999998</v>
      </c>
      <c r="S4" s="8">
        <f t="shared" si="0"/>
        <v>1719.6115999999997</v>
      </c>
      <c r="T4" s="8">
        <f t="shared" si="0"/>
        <v>1778.9643999999998</v>
      </c>
      <c r="U4" s="8">
        <f t="shared" si="0"/>
        <v>1866.0483999999999</v>
      </c>
    </row>
    <row r="5" spans="1:21" x14ac:dyDescent="0.3">
      <c r="A5" s="3"/>
      <c r="B5" s="3"/>
      <c r="C5" s="3"/>
      <c r="D5" s="3"/>
      <c r="E5" s="3"/>
      <c r="F5" s="10"/>
      <c r="G5" s="10"/>
      <c r="H5" s="10"/>
      <c r="I5" s="10"/>
      <c r="J5" s="10"/>
      <c r="K5" s="11"/>
      <c r="L5" s="12"/>
      <c r="M5" s="13"/>
      <c r="N5" s="13"/>
      <c r="O5" s="13"/>
      <c r="P5" s="13"/>
      <c r="Q5" s="13"/>
      <c r="R5" s="13"/>
      <c r="S5" s="13"/>
      <c r="T5" s="13"/>
      <c r="U5" s="13"/>
    </row>
    <row r="6" spans="1:21" x14ac:dyDescent="0.3">
      <c r="A6" s="3"/>
      <c r="B6" s="3"/>
      <c r="C6" s="3"/>
      <c r="D6" s="3"/>
      <c r="E6" s="3"/>
      <c r="F6" s="3">
        <v>1683.49</v>
      </c>
      <c r="G6" s="3">
        <v>279.94</v>
      </c>
      <c r="H6" s="3">
        <v>-0.75329999999999997</v>
      </c>
      <c r="I6" s="3"/>
      <c r="J6" s="3"/>
      <c r="K6" s="1"/>
      <c r="L6" s="2" t="s">
        <v>12</v>
      </c>
      <c r="M6" s="8">
        <f>$F6 + ($G6*(EXP($H6*M$1)))</f>
        <v>1963.43</v>
      </c>
      <c r="N6" s="8">
        <f t="shared" ref="N6:U6" si="1">$F6 + ($G6*(EXP($H6*N$1)))</f>
        <v>1815.2886388325242</v>
      </c>
      <c r="O6" s="8">
        <f t="shared" si="1"/>
        <v>1745.5421583128748</v>
      </c>
      <c r="P6" s="8">
        <f t="shared" si="1"/>
        <v>1712.7047960357834</v>
      </c>
      <c r="Q6" s="8">
        <f t="shared" si="1"/>
        <v>1697.2446272461459</v>
      </c>
      <c r="R6" s="8">
        <f t="shared" si="1"/>
        <v>1689.9658203496849</v>
      </c>
      <c r="S6" s="8">
        <f t="shared" si="1"/>
        <v>1686.5388830014019</v>
      </c>
      <c r="T6" s="8">
        <f t="shared" si="1"/>
        <v>1684.9254455581352</v>
      </c>
      <c r="U6" s="8">
        <f t="shared" si="1"/>
        <v>1684.1658225715526</v>
      </c>
    </row>
    <row r="7" spans="1:21" x14ac:dyDescent="0.3">
      <c r="A7" s="3">
        <v>1963.44</v>
      </c>
      <c r="B7" s="3"/>
      <c r="C7" s="3"/>
      <c r="D7" s="3"/>
      <c r="E7" s="3"/>
      <c r="F7" s="3">
        <v>1683.49</v>
      </c>
      <c r="G7" s="3"/>
      <c r="H7" s="3">
        <v>-0.75329999999999997</v>
      </c>
      <c r="I7" s="3"/>
      <c r="J7" s="3"/>
      <c r="K7" s="1"/>
      <c r="L7" s="2" t="s">
        <v>13</v>
      </c>
      <c r="M7" s="8">
        <f>$F7 + ($A7-$F7)*(EXP($H7*M$1))</f>
        <v>1963.44</v>
      </c>
      <c r="N7" s="8">
        <f t="shared" ref="N7:U7" si="2">$F7 + ($A7-$F7)*(EXP($H7*N$1))</f>
        <v>1815.2933469356476</v>
      </c>
      <c r="O7" s="8">
        <f t="shared" si="2"/>
        <v>1745.5443749363767</v>
      </c>
      <c r="P7" s="8">
        <f t="shared" si="2"/>
        <v>1712.7058396449866</v>
      </c>
      <c r="Q7" s="8">
        <f t="shared" si="2"/>
        <v>1697.2451185881207</v>
      </c>
      <c r="R7" s="8">
        <f t="shared" si="2"/>
        <v>1689.9660516785536</v>
      </c>
      <c r="S7" s="8">
        <f t="shared" si="2"/>
        <v>1686.5389919134188</v>
      </c>
      <c r="T7" s="8">
        <f t="shared" si="2"/>
        <v>1684.925496835036</v>
      </c>
      <c r="U7" s="8">
        <f t="shared" si="2"/>
        <v>1684.1658467132461</v>
      </c>
    </row>
    <row r="8" spans="1:2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1"/>
      <c r="L8" s="2"/>
      <c r="M8" s="3"/>
      <c r="N8" s="3"/>
      <c r="O8" s="3"/>
      <c r="P8" s="3"/>
      <c r="Q8" s="3"/>
      <c r="R8" s="3"/>
      <c r="S8" s="1"/>
      <c r="T8" s="1"/>
      <c r="U8" s="1"/>
    </row>
    <row r="9" spans="1:2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1"/>
      <c r="L9" s="14" t="s">
        <v>14</v>
      </c>
      <c r="M9" s="3">
        <v>0</v>
      </c>
      <c r="N9" s="3">
        <v>1</v>
      </c>
      <c r="O9" s="3">
        <v>1</v>
      </c>
      <c r="P9" s="3">
        <v>1</v>
      </c>
      <c r="Q9" s="3">
        <v>1</v>
      </c>
      <c r="R9" s="3">
        <v>1</v>
      </c>
      <c r="S9" s="3">
        <v>1</v>
      </c>
      <c r="T9" s="3">
        <v>1</v>
      </c>
      <c r="U9" s="3">
        <v>1</v>
      </c>
    </row>
    <row r="10" spans="1:2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1"/>
      <c r="L10" s="15" t="s">
        <v>15</v>
      </c>
      <c r="M10" s="5">
        <v>0</v>
      </c>
      <c r="N10" s="5">
        <v>0</v>
      </c>
      <c r="O10" s="5">
        <v>1</v>
      </c>
      <c r="P10" s="5">
        <v>2</v>
      </c>
      <c r="Q10" s="5">
        <v>3</v>
      </c>
      <c r="R10" s="5">
        <v>4</v>
      </c>
      <c r="S10" s="5">
        <v>5</v>
      </c>
      <c r="T10" s="5">
        <v>6</v>
      </c>
      <c r="U10" s="5">
        <v>7</v>
      </c>
    </row>
    <row r="11" spans="1:2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1"/>
      <c r="L11" s="2"/>
      <c r="M11" s="3"/>
      <c r="N11" s="3"/>
      <c r="O11" s="3"/>
      <c r="P11" s="3"/>
      <c r="Q11" s="3"/>
      <c r="R11" s="3"/>
      <c r="S11" s="1"/>
      <c r="T11" s="1"/>
      <c r="U11" s="1"/>
    </row>
    <row r="12" spans="1:21" x14ac:dyDescent="0.3">
      <c r="A12" s="3">
        <v>1961.89</v>
      </c>
      <c r="B12" s="3"/>
      <c r="C12" s="3"/>
      <c r="D12" s="3">
        <v>-163.63999999999999</v>
      </c>
      <c r="E12" s="3">
        <v>-32.8932</v>
      </c>
      <c r="F12" s="3"/>
      <c r="G12" s="3"/>
      <c r="H12" s="3"/>
      <c r="I12" s="3"/>
      <c r="J12" s="3"/>
      <c r="K12" s="1"/>
      <c r="L12" s="2" t="s">
        <v>16</v>
      </c>
      <c r="M12" s="16">
        <f>$A$12 + ($D12*M$9) + ($E12*M$10)</f>
        <v>1961.89</v>
      </c>
      <c r="N12" s="16">
        <f t="shared" ref="N12:U12" si="3">$A$12 + ($D12*N$9) + ($E12*N$10)</f>
        <v>1798.25</v>
      </c>
      <c r="O12" s="16">
        <f t="shared" si="3"/>
        <v>1765.3568</v>
      </c>
      <c r="P12" s="16">
        <f t="shared" si="3"/>
        <v>1732.4636</v>
      </c>
      <c r="Q12" s="16">
        <f t="shared" si="3"/>
        <v>1699.5704000000001</v>
      </c>
      <c r="R12" s="16">
        <f t="shared" si="3"/>
        <v>1666.6772000000001</v>
      </c>
      <c r="S12" s="16">
        <f t="shared" si="3"/>
        <v>1633.7840000000001</v>
      </c>
      <c r="T12" s="16">
        <f t="shared" si="3"/>
        <v>1600.8908000000001</v>
      </c>
      <c r="U12" s="16">
        <f t="shared" si="3"/>
        <v>1567.9975999999999</v>
      </c>
    </row>
    <row r="13" spans="1:21" ht="15.75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1"/>
      <c r="L13" s="2"/>
      <c r="M13" s="3"/>
      <c r="N13" s="3"/>
      <c r="O13" s="3"/>
      <c r="P13" s="3"/>
      <c r="Q13" s="3"/>
      <c r="R13" s="3"/>
      <c r="S13" s="1"/>
      <c r="T13" s="1"/>
      <c r="U13" s="1"/>
    </row>
    <row r="14" spans="1:2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1"/>
      <c r="L14" s="15" t="s">
        <v>43</v>
      </c>
      <c r="M14" s="5">
        <f>LN(M2)</f>
        <v>0</v>
      </c>
      <c r="N14" s="5">
        <f t="shared" ref="N14:U14" si="4">LN(N2)</f>
        <v>0.69314718055994529</v>
      </c>
      <c r="O14" s="5">
        <f t="shared" si="4"/>
        <v>1.0986122886681098</v>
      </c>
      <c r="P14" s="5">
        <f t="shared" si="4"/>
        <v>1.3862943611198906</v>
      </c>
      <c r="Q14" s="5">
        <f t="shared" si="4"/>
        <v>1.6094379124341003</v>
      </c>
      <c r="R14" s="5">
        <f t="shared" si="4"/>
        <v>1.791759469228055</v>
      </c>
      <c r="S14" s="5">
        <f t="shared" si="4"/>
        <v>1.9459101490553132</v>
      </c>
      <c r="T14" s="5">
        <f t="shared" si="4"/>
        <v>2.0794415416798357</v>
      </c>
      <c r="U14" s="5">
        <f t="shared" si="4"/>
        <v>2.1972245773362196</v>
      </c>
    </row>
    <row r="15" spans="1:21" x14ac:dyDescent="0.3">
      <c r="A15" s="3">
        <v>1942.55</v>
      </c>
      <c r="B15" s="3"/>
      <c r="C15" s="3"/>
      <c r="D15" s="3"/>
      <c r="E15" s="3"/>
      <c r="F15" s="3"/>
      <c r="G15" s="3"/>
      <c r="H15" s="3"/>
      <c r="I15" s="3">
        <v>-156.72</v>
      </c>
      <c r="J15" s="3">
        <v>-156.72</v>
      </c>
      <c r="K15" s="1"/>
      <c r="L15" s="2" t="s">
        <v>60</v>
      </c>
      <c r="M15" s="16">
        <f>$A$15+$I$15*M$14</f>
        <v>1942.55</v>
      </c>
      <c r="N15" s="16">
        <f t="shared" ref="N15:U15" si="5">$A$15+$I$15*N$14</f>
        <v>1833.9199738626453</v>
      </c>
      <c r="O15" s="16">
        <f t="shared" si="5"/>
        <v>1770.3754821199338</v>
      </c>
      <c r="P15" s="16">
        <f t="shared" si="5"/>
        <v>1725.2899477252906</v>
      </c>
      <c r="Q15" s="16">
        <f t="shared" si="5"/>
        <v>1690.3188903633277</v>
      </c>
      <c r="R15" s="16">
        <f t="shared" si="5"/>
        <v>1661.7454559825792</v>
      </c>
      <c r="S15" s="16">
        <f t="shared" si="5"/>
        <v>1637.5869614400513</v>
      </c>
      <c r="T15" s="16">
        <f t="shared" si="5"/>
        <v>1616.659921587936</v>
      </c>
      <c r="U15" s="16">
        <f t="shared" si="5"/>
        <v>1598.2009642398675</v>
      </c>
    </row>
    <row r="16" spans="1:21" x14ac:dyDescent="0.3">
      <c r="A16" s="3">
        <v>1960.96</v>
      </c>
      <c r="B16" s="3"/>
      <c r="C16" s="3"/>
      <c r="D16" s="3"/>
      <c r="E16" s="3"/>
      <c r="F16" s="3"/>
      <c r="G16" s="3"/>
      <c r="H16" s="3"/>
      <c r="I16" s="3">
        <v>-240.61</v>
      </c>
      <c r="J16" s="3">
        <v>49.9146</v>
      </c>
      <c r="K16" s="1"/>
      <c r="L16" s="2" t="s">
        <v>58</v>
      </c>
      <c r="M16" s="16">
        <f>$A$16+$I$16*M$14+$J$16*M$14*M$14</f>
        <v>1960.96</v>
      </c>
      <c r="N16" s="16">
        <f t="shared" ref="N16:U16" si="6">$A$16+$I$16*N$14+$J$16*N$14*N$14</f>
        <v>1818.1634768939932</v>
      </c>
      <c r="O16" s="16">
        <f t="shared" si="6"/>
        <v>1756.8672718229418</v>
      </c>
      <c r="P16" s="16">
        <f t="shared" si="6"/>
        <v>1723.330193805029</v>
      </c>
      <c r="Q16" s="16">
        <f t="shared" si="6"/>
        <v>1703.006452788597</v>
      </c>
      <c r="R16" s="16">
        <f t="shared" si="6"/>
        <v>1690.0906855570363</v>
      </c>
      <c r="S16" s="16">
        <f t="shared" si="6"/>
        <v>1681.7595016829048</v>
      </c>
      <c r="T16" s="16">
        <f t="shared" si="6"/>
        <v>1676.4601507331079</v>
      </c>
      <c r="U16" s="16">
        <f t="shared" si="6"/>
        <v>1673.2632928446349</v>
      </c>
    </row>
    <row r="17" spans="1:23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1"/>
      <c r="L17" s="2"/>
      <c r="M17" s="3"/>
      <c r="N17" s="3"/>
      <c r="O17" s="3"/>
      <c r="P17" s="3"/>
      <c r="Q17" s="3"/>
      <c r="R17" s="3"/>
      <c r="S17" s="1"/>
      <c r="T17" s="1"/>
      <c r="U17" s="1"/>
    </row>
    <row r="18" spans="1:23" x14ac:dyDescent="0.3">
      <c r="H18" s="18"/>
      <c r="I18" s="18"/>
      <c r="J18" s="18"/>
      <c r="L18" s="19" t="s">
        <v>17</v>
      </c>
      <c r="M18" s="3">
        <f t="shared" ref="M18:U18" si="7">EXP($E$28*M19)</f>
        <v>1</v>
      </c>
      <c r="N18" s="3">
        <f t="shared" si="7"/>
        <v>0.47081031232594217</v>
      </c>
      <c r="O18" s="3">
        <f t="shared" si="7"/>
        <v>0.2216623501924512</v>
      </c>
      <c r="P18" s="3">
        <f t="shared" si="7"/>
        <v>0.10436092032501031</v>
      </c>
      <c r="Q18" s="3">
        <f t="shared" si="7"/>
        <v>4.9134197492840877E-2</v>
      </c>
      <c r="R18" s="3">
        <f t="shared" si="7"/>
        <v>2.313288686748894E-2</v>
      </c>
      <c r="S18" s="3">
        <f t="shared" si="7"/>
        <v>1.0891201691083149E-2</v>
      </c>
      <c r="T18" s="3">
        <f t="shared" si="7"/>
        <v>5.12769006978369E-3</v>
      </c>
      <c r="U18" s="3">
        <f t="shared" si="7"/>
        <v>2.4141693632654905E-3</v>
      </c>
    </row>
    <row r="19" spans="1:23" x14ac:dyDescent="0.3">
      <c r="A19" s="8"/>
      <c r="B19" s="8"/>
      <c r="C19" s="8"/>
      <c r="D19" s="8"/>
      <c r="E19" s="8"/>
      <c r="F19" s="8"/>
      <c r="G19" s="8"/>
      <c r="H19" s="18"/>
      <c r="I19" s="18"/>
      <c r="J19" s="18"/>
      <c r="K19" s="18"/>
      <c r="L19" s="19"/>
      <c r="M19" s="20">
        <v>0</v>
      </c>
      <c r="N19" s="20">
        <v>1</v>
      </c>
      <c r="O19" s="20">
        <v>2</v>
      </c>
      <c r="P19" s="20">
        <v>3</v>
      </c>
      <c r="Q19" s="20">
        <v>4</v>
      </c>
      <c r="R19" s="20">
        <v>5</v>
      </c>
      <c r="S19" s="20">
        <v>6</v>
      </c>
      <c r="T19" s="20">
        <v>7</v>
      </c>
      <c r="U19" s="20">
        <v>8</v>
      </c>
    </row>
    <row r="20" spans="1:23" x14ac:dyDescent="0.3">
      <c r="A20" s="21" t="s">
        <v>18</v>
      </c>
      <c r="B20" s="21" t="s">
        <v>19</v>
      </c>
      <c r="C20" s="21" t="s">
        <v>20</v>
      </c>
      <c r="D20" s="21" t="s">
        <v>21</v>
      </c>
      <c r="E20" s="21" t="s">
        <v>22</v>
      </c>
      <c r="F20" s="21" t="s">
        <v>23</v>
      </c>
      <c r="G20" s="21" t="s">
        <v>24</v>
      </c>
      <c r="H20" s="18"/>
      <c r="I20" s="18"/>
      <c r="J20" s="18"/>
      <c r="K20" s="18"/>
      <c r="L20" s="6" t="s">
        <v>9</v>
      </c>
      <c r="M20" s="22">
        <v>1</v>
      </c>
      <c r="N20" s="22">
        <v>2</v>
      </c>
      <c r="O20" s="22">
        <v>3</v>
      </c>
      <c r="P20" s="22">
        <v>4</v>
      </c>
      <c r="Q20" s="22">
        <v>5</v>
      </c>
      <c r="R20" s="22">
        <v>6</v>
      </c>
      <c r="S20" s="22">
        <v>7</v>
      </c>
      <c r="T20" s="22">
        <v>8</v>
      </c>
      <c r="U20" s="22">
        <v>9</v>
      </c>
    </row>
    <row r="21" spans="1:23" x14ac:dyDescent="0.3">
      <c r="A21" s="8">
        <v>20298</v>
      </c>
      <c r="B21" s="8">
        <v>273306</v>
      </c>
      <c r="C21" s="8">
        <v>-35262</v>
      </c>
      <c r="D21" s="8">
        <v>25438</v>
      </c>
      <c r="E21" s="8">
        <v>3845.38</v>
      </c>
      <c r="F21" s="8">
        <v>-3837.76</v>
      </c>
      <c r="G21" s="8">
        <v>622.80999999999995</v>
      </c>
      <c r="H21" s="18"/>
      <c r="I21" s="18"/>
      <c r="J21" s="18"/>
      <c r="K21" s="18"/>
      <c r="L21" s="2" t="s">
        <v>10</v>
      </c>
      <c r="M21" s="8">
        <v>301985</v>
      </c>
      <c r="N21" s="8">
        <v>259150</v>
      </c>
      <c r="O21" s="8">
        <v>233368</v>
      </c>
      <c r="P21" s="8">
        <v>217544</v>
      </c>
      <c r="Q21" s="8">
        <v>212098</v>
      </c>
      <c r="R21" s="8">
        <v>196733</v>
      </c>
      <c r="S21" s="18"/>
      <c r="T21" s="18"/>
      <c r="U21" s="18"/>
    </row>
    <row r="22" spans="1:23" x14ac:dyDescent="0.3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2" t="s">
        <v>11</v>
      </c>
      <c r="M22" s="8">
        <f>$A$21+$B$21 + (2*M$19*$C$21)+ (M$19^2*$D$21) + (2*M$19^2*$E$21) + (2*M$19^3*$F$21) + (M$19^4*$G$21)</f>
        <v>293604</v>
      </c>
      <c r="N22" s="8">
        <f t="shared" ref="N22:U22" si="8">$A$21+$B$21 + (2*N$19*$C$21)+ (N$19^2*$D$21) + (2*N$19^2*$E$21) + (2*N$19^3*$F$21) + (N$19^4*$G$21)</f>
        <v>249156.05000000002</v>
      </c>
      <c r="O22" s="8">
        <f t="shared" si="8"/>
        <v>233631.83999999997</v>
      </c>
      <c r="P22" s="8">
        <f t="shared" si="8"/>
        <v>223399.40999999995</v>
      </c>
      <c r="Q22" s="8">
        <f t="shared" si="8"/>
        <v>209774.24</v>
      </c>
      <c r="R22" s="8">
        <f t="shared" si="8"/>
        <v>199019.24999999994</v>
      </c>
      <c r="S22" s="8">
        <f t="shared" si="8"/>
        <v>212344.7999999997</v>
      </c>
      <c r="T22" s="8">
        <f t="shared" si="8"/>
        <v>285908.68999999948</v>
      </c>
      <c r="U22" s="8">
        <f t="shared" si="8"/>
        <v>470816.15999999968</v>
      </c>
    </row>
    <row r="23" spans="1:23" x14ac:dyDescent="0.3">
      <c r="A23" s="21" t="s">
        <v>18</v>
      </c>
      <c r="B23" s="21" t="s">
        <v>19</v>
      </c>
      <c r="C23" s="21" t="s">
        <v>25</v>
      </c>
      <c r="D23" s="21" t="s">
        <v>26</v>
      </c>
      <c r="E23" s="21" t="s">
        <v>27</v>
      </c>
      <c r="F23" s="21" t="s">
        <v>28</v>
      </c>
      <c r="G23" s="21" t="s">
        <v>29</v>
      </c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3" x14ac:dyDescent="0.3">
      <c r="A24" s="8">
        <v>17673</v>
      </c>
      <c r="B24" s="8">
        <v>281322</v>
      </c>
      <c r="C24" s="8">
        <v>-53558</v>
      </c>
      <c r="D24" s="8">
        <v>63041</v>
      </c>
      <c r="E24" s="8">
        <v>-10538</v>
      </c>
      <c r="F24" s="8">
        <v>-1620.74</v>
      </c>
      <c r="G24" s="8">
        <v>2573.86</v>
      </c>
      <c r="H24" s="18"/>
      <c r="I24" s="18"/>
      <c r="J24" s="18"/>
      <c r="K24" s="18"/>
      <c r="L24" s="18"/>
      <c r="M24" s="8"/>
      <c r="N24" s="8"/>
      <c r="O24" s="8"/>
      <c r="P24" s="8"/>
      <c r="Q24" s="8"/>
      <c r="R24" s="8"/>
      <c r="S24" s="8"/>
      <c r="T24" s="8"/>
      <c r="U24" s="8"/>
    </row>
    <row r="25" spans="1:23" x14ac:dyDescent="0.3">
      <c r="L25" s="2" t="s">
        <v>16</v>
      </c>
      <c r="M25" s="8">
        <f t="shared" ref="M25:U25" si="9">$A24 + $B24 +(2*$C24*M$9) + (M$9^2*$D24) + (2*M$10*$E24)+(2*M$9*M$10*$F24)+(M$10^2*$G24)</f>
        <v>298995</v>
      </c>
      <c r="N25" s="8">
        <f t="shared" si="9"/>
        <v>254920</v>
      </c>
      <c r="O25" s="8">
        <f t="shared" si="9"/>
        <v>233176.37999999998</v>
      </c>
      <c r="P25" s="8">
        <f t="shared" si="9"/>
        <v>216580.48000000001</v>
      </c>
      <c r="Q25" s="8">
        <f t="shared" si="9"/>
        <v>205132.3</v>
      </c>
      <c r="R25" s="8">
        <f t="shared" si="9"/>
        <v>198831.84</v>
      </c>
      <c r="S25" s="8">
        <f t="shared" si="9"/>
        <v>197679.1</v>
      </c>
      <c r="T25" s="8">
        <f t="shared" si="9"/>
        <v>201674.08000000002</v>
      </c>
      <c r="U25" s="8">
        <f t="shared" si="9"/>
        <v>210816.78</v>
      </c>
    </row>
    <row r="26" spans="1:23" x14ac:dyDescent="0.3">
      <c r="A26" s="21" t="s">
        <v>18</v>
      </c>
      <c r="B26" s="21" t="s">
        <v>30</v>
      </c>
      <c r="C26" s="21" t="s">
        <v>31</v>
      </c>
      <c r="D26" s="23" t="s">
        <v>32</v>
      </c>
      <c r="E26" s="5" t="s">
        <v>33</v>
      </c>
      <c r="F26" s="8"/>
      <c r="G26" s="8"/>
      <c r="H26" s="18"/>
      <c r="I26" s="18"/>
      <c r="J26" s="18"/>
      <c r="K26" s="18"/>
    </row>
    <row r="27" spans="1:23" x14ac:dyDescent="0.3">
      <c r="A27" s="8">
        <v>33875</v>
      </c>
      <c r="B27" s="8">
        <v>200657</v>
      </c>
      <c r="C27" s="8"/>
      <c r="D27" s="8"/>
      <c r="E27" s="25">
        <v>-0.66979999999999995</v>
      </c>
      <c r="F27" s="8"/>
      <c r="G27" s="8"/>
      <c r="H27" s="18"/>
      <c r="I27" s="18"/>
      <c r="J27" s="18"/>
      <c r="K27" s="18"/>
      <c r="L27" s="2" t="s">
        <v>34</v>
      </c>
      <c r="M27" s="8">
        <f t="shared" ref="M27:U27" si="10">$A$27 + $B$27</f>
        <v>234532</v>
      </c>
      <c r="N27" s="8">
        <f t="shared" si="10"/>
        <v>234532</v>
      </c>
      <c r="O27" s="8">
        <f t="shared" si="10"/>
        <v>234532</v>
      </c>
      <c r="P27" s="8">
        <f t="shared" si="10"/>
        <v>234532</v>
      </c>
      <c r="Q27" s="8">
        <f t="shared" si="10"/>
        <v>234532</v>
      </c>
      <c r="R27" s="8">
        <f t="shared" si="10"/>
        <v>234532</v>
      </c>
      <c r="S27" s="8">
        <f t="shared" si="10"/>
        <v>234532</v>
      </c>
      <c r="T27" s="8">
        <f t="shared" si="10"/>
        <v>234532</v>
      </c>
      <c r="U27" s="8">
        <f t="shared" si="10"/>
        <v>234532</v>
      </c>
    </row>
    <row r="28" spans="1:23" x14ac:dyDescent="0.3">
      <c r="A28" s="8">
        <v>23039</v>
      </c>
      <c r="B28" s="8">
        <v>190823</v>
      </c>
      <c r="C28" s="8">
        <v>6649.56</v>
      </c>
      <c r="D28" s="8">
        <v>77254</v>
      </c>
      <c r="E28" s="25">
        <v>-0.75329999999999997</v>
      </c>
      <c r="F28" s="8"/>
      <c r="G28" s="8"/>
      <c r="H28" s="18"/>
      <c r="I28" s="18"/>
      <c r="J28" s="18"/>
      <c r="K28" s="18"/>
      <c r="L28" s="2" t="s">
        <v>12</v>
      </c>
      <c r="M28" s="8">
        <f>$A28 + $B28 + (2*EXP($E28*M$19)*$C28)+(((EXP($E28*M$19))^2)*$D28)</f>
        <v>304415.12</v>
      </c>
      <c r="N28" s="8">
        <f t="shared" ref="N28:U28" si="11">$A28 + $B28 + (2*EXP($E28*N$19)*$C28)+(((EXP($E28*N$19))^2)*$D28)</f>
        <v>237247.6660426278</v>
      </c>
      <c r="O28" s="8">
        <f t="shared" si="11"/>
        <v>220605.72748780335</v>
      </c>
      <c r="P28" s="8">
        <f t="shared" si="11"/>
        <v>216091.2972981557</v>
      </c>
      <c r="Q28" s="8">
        <f t="shared" si="11"/>
        <v>214701.9458285507</v>
      </c>
      <c r="R28" s="8">
        <f>$A28 + $B28 + (2*EXP($E28*R$19)*$C28)+(((EXP($E28*R$19))^2)*$D28)</f>
        <v>214210.98800655414</v>
      </c>
      <c r="S28" s="8">
        <f t="shared" si="11"/>
        <v>214016.00713439481</v>
      </c>
      <c r="T28" s="8">
        <f t="shared" si="11"/>
        <v>213932.22502085482</v>
      </c>
      <c r="U28" s="8">
        <f t="shared" si="11"/>
        <v>213894.5565808847</v>
      </c>
    </row>
    <row r="29" spans="1:23" x14ac:dyDescent="0.3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23" x14ac:dyDescent="0.3">
      <c r="K30" s="1"/>
      <c r="L30" s="2" t="s">
        <v>35</v>
      </c>
      <c r="M30" s="8"/>
      <c r="N30" s="8">
        <f>$B$28 + (($M$18+N$18)*$C$28)+($M$18*N$18*$D$28)</f>
        <v>236975.22128885845</v>
      </c>
      <c r="O30" s="8">
        <f t="shared" ref="O30:R30" si="12">$B$28 + (($M$18+O$18)*$C$28)+($M$18*O$18*$D$28)</f>
        <v>216070.82029911334</v>
      </c>
      <c r="P30" s="8">
        <f t="shared" si="12"/>
        <v>206228.81274014473</v>
      </c>
      <c r="Q30" s="8">
        <f t="shared" si="12"/>
        <v>201595.09408739241</v>
      </c>
      <c r="R30" s="8">
        <f t="shared" si="12"/>
        <v>199413.49156125955</v>
      </c>
      <c r="S30" s="26"/>
      <c r="T30" s="26"/>
      <c r="U30" s="26"/>
    </row>
    <row r="31" spans="1:23" s="26" customFormat="1" x14ac:dyDescent="0.3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"/>
      <c r="L31" s="2" t="s">
        <v>36</v>
      </c>
      <c r="O31" s="8">
        <f>$B$28 + (($N$18+O$18)*$C$28)+($N$18*O$18*$D$28)</f>
        <v>203489.93705656414</v>
      </c>
      <c r="P31" s="8">
        <f t="shared" ref="P31:R31" si="13">$B$28 + (($N$18+P$18)*$C$28)+($N$18*P$18*$D$28)</f>
        <v>198443.44891489838</v>
      </c>
      <c r="Q31" s="8">
        <f t="shared" si="13"/>
        <v>196067.51025677158</v>
      </c>
      <c r="R31" s="8">
        <f t="shared" si="13"/>
        <v>194948.89383507162</v>
      </c>
      <c r="V31" s="27"/>
      <c r="W31" s="27"/>
    </row>
    <row r="32" spans="1:23" s="26" customFormat="1" x14ac:dyDescent="0.3">
      <c r="A32" s="17"/>
      <c r="B32" s="17"/>
      <c r="C32" s="17"/>
      <c r="D32" s="17"/>
      <c r="E32" s="3"/>
      <c r="F32" s="3"/>
      <c r="G32" s="3"/>
      <c r="H32" s="3"/>
      <c r="I32" s="3"/>
      <c r="J32" s="3"/>
      <c r="K32" s="1"/>
      <c r="L32" s="2" t="s">
        <v>37</v>
      </c>
      <c r="P32" s="8">
        <f>$B$28 + (($O$18+P$18)*$C$28)+($O$18*P$18*$D$28)</f>
        <v>194778.01934076307</v>
      </c>
      <c r="Q32" s="8">
        <f t="shared" ref="Q32" si="14">$B$28 + (($O$18+Q$18)*$C$28)+($O$18*Q$18*$D$28)</f>
        <v>193465.06678706914</v>
      </c>
      <c r="R32" s="8">
        <f>$B$28 + (($O$18+R$18)*$C$28)+($O$18*R$18*$D$28)</f>
        <v>192846.91518519536</v>
      </c>
      <c r="V32" s="28"/>
      <c r="W32" s="28"/>
    </row>
    <row r="33" spans="1:22" s="26" customFormat="1" x14ac:dyDescent="0.3">
      <c r="A33" s="17"/>
      <c r="B33" s="17"/>
      <c r="C33" s="17"/>
      <c r="D33" s="17"/>
      <c r="E33" s="3"/>
      <c r="F33" s="3"/>
      <c r="G33" s="3"/>
      <c r="H33" s="3"/>
      <c r="I33" s="3"/>
      <c r="J33" s="3"/>
      <c r="K33" s="1"/>
      <c r="L33" s="2" t="s">
        <v>38</v>
      </c>
      <c r="Q33" s="8">
        <f>$B$28 + (($P$18+Q$18)*$C$28)+($P$18*Q$18*$D$28)</f>
        <v>192239.80956428792</v>
      </c>
      <c r="R33" s="8">
        <f>$B$28 + (($P$18+R$18)*$C$28)+($P$18*R$18*$D$28)</f>
        <v>191857.28196054467</v>
      </c>
    </row>
    <row r="34" spans="1:22" s="26" customFormat="1" x14ac:dyDescent="0.3">
      <c r="A34" s="17"/>
      <c r="B34" s="17"/>
      <c r="C34" s="17"/>
      <c r="D34" s="17"/>
      <c r="E34" s="3"/>
      <c r="F34" s="3"/>
      <c r="G34" s="3"/>
      <c r="H34" s="3"/>
      <c r="I34" s="3"/>
      <c r="J34" s="3"/>
      <c r="K34" s="1"/>
      <c r="L34" s="2" t="s">
        <v>39</v>
      </c>
      <c r="R34" s="8">
        <f>$B$28 + (($Q$18+R$18)*$C$28)+($Q$18*R$18*$D$28)</f>
        <v>191391.35243295875</v>
      </c>
      <c r="V34" s="29"/>
    </row>
    <row r="35" spans="1:22" s="26" customFormat="1" ht="13.8" x14ac:dyDescent="0.3">
      <c r="A35" s="21" t="s">
        <v>18</v>
      </c>
      <c r="B35" s="21" t="s">
        <v>30</v>
      </c>
      <c r="C35" s="21" t="s">
        <v>40</v>
      </c>
      <c r="D35" s="23" t="s">
        <v>19</v>
      </c>
      <c r="E35" s="5" t="s">
        <v>33</v>
      </c>
      <c r="F35" s="3"/>
      <c r="G35" s="3"/>
      <c r="H35" s="3"/>
      <c r="I35" s="3"/>
      <c r="J35" s="3"/>
      <c r="K35" s="1"/>
      <c r="V35" s="29"/>
    </row>
    <row r="36" spans="1:22" s="26" customFormat="1" ht="13.8" x14ac:dyDescent="0.3">
      <c r="A36" s="8">
        <v>81235</v>
      </c>
      <c r="B36" s="8">
        <v>188198</v>
      </c>
      <c r="C36" s="8"/>
      <c r="D36" s="8"/>
      <c r="E36" s="3">
        <v>-3.5453000000000001</v>
      </c>
      <c r="F36" s="3"/>
      <c r="G36" s="3"/>
      <c r="H36" s="3"/>
      <c r="I36" s="3"/>
      <c r="J36" s="3"/>
      <c r="K36" s="1"/>
      <c r="L36" s="2" t="s">
        <v>41</v>
      </c>
      <c r="M36" s="8">
        <f>$A36 + $B36  + ($B36*EXP($E36*M$19))</f>
        <v>457631</v>
      </c>
      <c r="N36" s="8">
        <f t="shared" ref="N36:U37" si="15">$A36 + $B36  + ($B36*EXP($E36*N$19))</f>
        <v>274864.38735843333</v>
      </c>
      <c r="O36" s="8">
        <f t="shared" si="15"/>
        <v>269589.7496394082</v>
      </c>
      <c r="P36" s="8">
        <f t="shared" si="15"/>
        <v>269437.52378882834</v>
      </c>
      <c r="Q36" s="8">
        <f t="shared" si="15"/>
        <v>269433.13055637921</v>
      </c>
      <c r="R36" s="8">
        <f t="shared" si="15"/>
        <v>269433.00376785232</v>
      </c>
      <c r="S36" s="8">
        <f t="shared" si="15"/>
        <v>269433.00010874006</v>
      </c>
      <c r="T36" s="8">
        <f t="shared" si="15"/>
        <v>269433.00000313821</v>
      </c>
      <c r="U36" s="8">
        <f t="shared" si="15"/>
        <v>269433.00000009057</v>
      </c>
      <c r="V36" s="29"/>
    </row>
    <row r="37" spans="1:22" s="26" customFormat="1" ht="13.8" x14ac:dyDescent="0.3">
      <c r="A37" s="8">
        <v>23039</v>
      </c>
      <c r="B37" s="8">
        <v>190823</v>
      </c>
      <c r="C37" s="8">
        <v>197472</v>
      </c>
      <c r="D37" s="8">
        <v>281375</v>
      </c>
      <c r="E37" s="3">
        <v>-0.75329999999999997</v>
      </c>
      <c r="F37" s="3"/>
      <c r="G37" s="3"/>
      <c r="H37" s="3"/>
      <c r="I37" s="3"/>
      <c r="J37" s="3"/>
      <c r="K37" s="1"/>
      <c r="L37" s="2" t="s">
        <v>13</v>
      </c>
      <c r="M37" s="8">
        <f>$A37 + $B37  - ($B37*(EXP($E37*M$19)^2) )+ ($C37*(EXP($E37*M$19)^2))+(2*$D37*(EXP($E37*M$19)^2))</f>
        <v>783261</v>
      </c>
      <c r="N37" s="8">
        <f t="shared" si="15"/>
        <v>303703.43622897327</v>
      </c>
      <c r="O37" s="8">
        <f t="shared" si="15"/>
        <v>256160.27465077411</v>
      </c>
      <c r="P37" s="8">
        <f t="shared" si="15"/>
        <v>233776.46389917945</v>
      </c>
      <c r="Q37" s="8">
        <f t="shared" si="15"/>
        <v>223237.93496817639</v>
      </c>
      <c r="R37" s="8">
        <f t="shared" si="15"/>
        <v>218276.28687071483</v>
      </c>
      <c r="S37" s="8">
        <f t="shared" si="15"/>
        <v>215940.29178029756</v>
      </c>
      <c r="T37" s="8">
        <f t="shared" si="15"/>
        <v>214840.48120218635</v>
      </c>
      <c r="U37" s="8">
        <f t="shared" si="15"/>
        <v>214322.67904040642</v>
      </c>
    </row>
    <row r="38" spans="1:22" s="26" customFormat="1" x14ac:dyDescent="0.3">
      <c r="A38" s="17"/>
      <c r="B38" s="17"/>
      <c r="C38" s="17"/>
      <c r="D38" s="17"/>
      <c r="E38" s="3"/>
      <c r="F38" s="3"/>
      <c r="G38" s="3"/>
      <c r="H38" s="3"/>
      <c r="I38" s="3"/>
      <c r="J38" s="3"/>
      <c r="K38" s="1"/>
    </row>
    <row r="39" spans="1:22" s="26" customFormat="1" ht="13.8" x14ac:dyDescent="0.3">
      <c r="A39" s="21" t="s">
        <v>18</v>
      </c>
      <c r="B39" s="21" t="s">
        <v>19</v>
      </c>
      <c r="C39" s="21" t="s">
        <v>20</v>
      </c>
      <c r="D39" s="21" t="s">
        <v>21</v>
      </c>
      <c r="E39" s="21" t="s">
        <v>22</v>
      </c>
      <c r="F39" s="21" t="s">
        <v>23</v>
      </c>
      <c r="G39" s="21" t="s">
        <v>24</v>
      </c>
      <c r="H39" s="3"/>
      <c r="I39" s="3"/>
      <c r="J39" s="3"/>
      <c r="K39" s="1"/>
      <c r="V39" s="29"/>
    </row>
    <row r="40" spans="1:22" s="26" customFormat="1" x14ac:dyDescent="0.3">
      <c r="A40" s="32">
        <v>24120</v>
      </c>
      <c r="B40" s="32">
        <v>271366</v>
      </c>
      <c r="C40" s="32">
        <v>-43981</v>
      </c>
      <c r="D40" s="32">
        <v>22763</v>
      </c>
      <c r="H40" s="3"/>
      <c r="I40" s="3"/>
      <c r="J40" s="3"/>
      <c r="K40" s="1"/>
      <c r="L40" s="2" t="s">
        <v>60</v>
      </c>
      <c r="M40" s="8">
        <f>$A$40+$B$40 + (2*M$14*$C$40)+ (M$14^2*$D$40) + (2*M$14^2*$E$40) + (2*M$14^3*$F$40) + (M$14^4*$G$40)</f>
        <v>295486</v>
      </c>
      <c r="N40" s="8">
        <f t="shared" ref="N40:U40" si="16">$A$40+$B$40 + (2*N$14*$C$40)+ (N$14^2*$D$40) + (2*N$14^2*$E$40) + (2*N$14^3*$F$40) + (N$14^4*$G$40)</f>
        <v>245451.93965940608</v>
      </c>
      <c r="O40" s="8">
        <f t="shared" si="16"/>
        <v>226323.64505915254</v>
      </c>
      <c r="P40" s="8">
        <f t="shared" si="16"/>
        <v>217290.98323045226</v>
      </c>
      <c r="Q40" s="8">
        <f t="shared" si="16"/>
        <v>212879.40258464374</v>
      </c>
      <c r="R40" s="8">
        <f t="shared" si="16"/>
        <v>210957.63419288534</v>
      </c>
      <c r="S40" s="8">
        <f>$A$40+$B$40 + (2*S$14*$C$40)+ (S$14^2*$D$40) + (2*S$14^2*$E$40) + (2*S$14^3*$F$40) + (S$14^4*$G$40)</f>
        <v>210513.46034227283</v>
      </c>
      <c r="T40" s="8">
        <f t="shared" si="16"/>
        <v>211003.13071313844</v>
      </c>
      <c r="U40" s="8">
        <f t="shared" si="16"/>
        <v>212108.84850825867</v>
      </c>
    </row>
    <row r="41" spans="1:22" s="26" customFormat="1" ht="13.8" x14ac:dyDescent="0.3">
      <c r="A41" s="8">
        <v>17232</v>
      </c>
      <c r="B41" s="8">
        <v>282085</v>
      </c>
      <c r="C41" s="8">
        <v>-79328</v>
      </c>
      <c r="D41" s="8">
        <v>196268</v>
      </c>
      <c r="E41" s="8">
        <v>15693</v>
      </c>
      <c r="F41" s="8">
        <v>-85477</v>
      </c>
      <c r="G41" s="8">
        <v>42323</v>
      </c>
      <c r="H41" s="3"/>
      <c r="I41" s="3"/>
      <c r="J41" s="3"/>
      <c r="K41" s="1"/>
      <c r="L41" s="2" t="s">
        <v>58</v>
      </c>
      <c r="M41" s="8">
        <f>$A$41+$B$41 + (2*M$14*$C$41)+ (M$14^2*$D$41) + (2*M$14^2*$E$41) + (2*M$14^3*$F$41) + (M$14^4*$G$41)</f>
        <v>299317</v>
      </c>
      <c r="N41" s="8">
        <f t="shared" ref="N41:U41" si="17">$A$41+$B$41 + (2*N$14*$C$41)+ (N$14^2*$D$41) + (2*N$14^2*$E$41) + (2*N$14^3*$F$41) + (N$14^4*$G$41)</f>
        <v>251559.82887283195</v>
      </c>
      <c r="O41" s="8">
        <f t="shared" si="17"/>
        <v>234755.63562119851</v>
      </c>
      <c r="P41" s="8">
        <f t="shared" si="17"/>
        <v>217740.25475268537</v>
      </c>
      <c r="Q41" s="8">
        <f t="shared" si="17"/>
        <v>204938.46420830826</v>
      </c>
      <c r="R41" s="8">
        <f t="shared" si="17"/>
        <v>198740.870686365</v>
      </c>
      <c r="S41" s="8">
        <f>$A$41+$B$41 + (2*S$14*$C$41)+ (S$14^2*$D$41) + (2*S$14^2*$E$41) + (2*S$14^3*$F$41) + (S$14^4*$G$41)</f>
        <v>199800.98929604085</v>
      </c>
      <c r="T41" s="8">
        <f t="shared" si="17"/>
        <v>207973.71908681386</v>
      </c>
      <c r="U41" s="8">
        <f t="shared" si="17"/>
        <v>222791.6839337647</v>
      </c>
    </row>
    <row r="42" spans="1:22" s="26" customFormat="1" x14ac:dyDescent="0.3">
      <c r="A42" s="17"/>
      <c r="B42" s="17"/>
      <c r="C42" s="17"/>
      <c r="D42" s="17"/>
      <c r="E42" s="3"/>
      <c r="F42" s="3"/>
      <c r="G42" s="3"/>
      <c r="H42" s="3"/>
      <c r="I42" s="3"/>
      <c r="J42" s="3"/>
      <c r="K42" s="1"/>
    </row>
    <row r="43" spans="1:22" s="26" customFormat="1" x14ac:dyDescent="0.3">
      <c r="A43" s="17"/>
      <c r="B43" s="17"/>
      <c r="C43" s="17"/>
      <c r="D43" s="17"/>
      <c r="E43" s="3"/>
      <c r="F43" s="3"/>
      <c r="G43" s="3"/>
      <c r="H43" s="3"/>
      <c r="I43" s="3"/>
      <c r="J43" s="3"/>
      <c r="K43" s="1"/>
    </row>
    <row r="44" spans="1:22" s="26" customFormat="1" x14ac:dyDescent="0.3">
      <c r="A44" s="17"/>
      <c r="B44" s="17"/>
      <c r="C44" s="17"/>
      <c r="D44" s="17"/>
      <c r="E44" s="3"/>
      <c r="F44" s="3"/>
      <c r="G44" s="3"/>
      <c r="H44" s="3"/>
      <c r="I44" s="3"/>
      <c r="J44" s="3"/>
      <c r="K44" s="1"/>
    </row>
    <row r="45" spans="1:22" s="26" customFormat="1" x14ac:dyDescent="0.3">
      <c r="A45" s="17"/>
      <c r="B45" s="17"/>
      <c r="C45" s="17"/>
      <c r="D45" s="17"/>
      <c r="E45" s="3"/>
      <c r="F45" s="3"/>
      <c r="G45" s="3"/>
      <c r="H45" s="3"/>
      <c r="I45" s="3"/>
      <c r="J45" s="3"/>
      <c r="K45" s="1"/>
    </row>
    <row r="46" spans="1:22" s="26" customFormat="1" x14ac:dyDescent="0.3">
      <c r="A46" s="17"/>
      <c r="B46" s="17"/>
      <c r="C46" s="17"/>
      <c r="D46" s="17"/>
      <c r="E46" s="3"/>
      <c r="F46" s="3"/>
      <c r="G46" s="3"/>
      <c r="H46" s="3"/>
      <c r="I46" s="3"/>
      <c r="J46" s="3"/>
      <c r="K46" s="1"/>
      <c r="L46" s="84" t="s">
        <v>9</v>
      </c>
      <c r="M46" s="26" t="s">
        <v>66</v>
      </c>
      <c r="N46" s="26" t="s">
        <v>67</v>
      </c>
    </row>
    <row r="47" spans="1:22" s="26" customFormat="1" ht="13.8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1"/>
      <c r="L47" s="82">
        <v>1</v>
      </c>
      <c r="M47" s="25">
        <f>LN(L47)</f>
        <v>0</v>
      </c>
      <c r="N47" s="25">
        <f>M47^2</f>
        <v>0</v>
      </c>
      <c r="O47" s="8"/>
      <c r="P47" s="8"/>
      <c r="Q47" s="8"/>
      <c r="R47" s="8"/>
      <c r="S47" s="8"/>
      <c r="T47" s="8"/>
      <c r="U47" s="8"/>
    </row>
    <row r="48" spans="1:22" s="26" customFormat="1" ht="13.8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1"/>
      <c r="L48" s="82">
        <v>2</v>
      </c>
      <c r="M48" s="25">
        <f t="shared" ref="M48:M52" si="18">LN(L48)</f>
        <v>0.69314718055994529</v>
      </c>
      <c r="N48" s="25">
        <f t="shared" ref="N48:N52" si="19">M48^2</f>
        <v>0.48045301391820139</v>
      </c>
      <c r="O48" s="8"/>
      <c r="P48" s="8"/>
      <c r="Q48" s="8"/>
      <c r="R48" s="8"/>
      <c r="S48" s="8"/>
      <c r="T48" s="8"/>
      <c r="U48" s="8"/>
    </row>
    <row r="49" spans="1:21" s="26" customFormat="1" x14ac:dyDescent="0.3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4"/>
      <c r="L49" s="82">
        <v>3</v>
      </c>
      <c r="M49" s="25">
        <f t="shared" si="18"/>
        <v>1.0986122886681098</v>
      </c>
      <c r="N49" s="25">
        <f t="shared" si="19"/>
        <v>1.2069489608125821</v>
      </c>
      <c r="O49" s="8"/>
      <c r="P49" s="8"/>
      <c r="Q49" s="8"/>
      <c r="R49" s="8"/>
      <c r="S49" s="8"/>
      <c r="T49" s="8"/>
      <c r="U49" s="8"/>
    </row>
    <row r="50" spans="1:21" s="26" customFormat="1" ht="13.8" x14ac:dyDescent="0.3">
      <c r="L50" s="82">
        <v>4</v>
      </c>
      <c r="M50" s="25">
        <f t="shared" si="18"/>
        <v>1.3862943611198906</v>
      </c>
      <c r="N50" s="25">
        <f t="shared" si="19"/>
        <v>1.9218120556728056</v>
      </c>
      <c r="O50" s="8"/>
      <c r="P50" s="8"/>
      <c r="Q50" s="8"/>
      <c r="R50" s="8"/>
      <c r="S50" s="8"/>
      <c r="T50" s="8"/>
      <c r="U50" s="8"/>
    </row>
    <row r="51" spans="1:21" s="26" customFormat="1" ht="13.8" x14ac:dyDescent="0.3">
      <c r="L51" s="82">
        <v>5</v>
      </c>
      <c r="M51" s="25">
        <f t="shared" si="18"/>
        <v>1.6094379124341003</v>
      </c>
      <c r="N51" s="25">
        <f t="shared" si="19"/>
        <v>2.5902903939802346</v>
      </c>
      <c r="O51" s="8"/>
      <c r="P51" s="8"/>
      <c r="Q51" s="8"/>
      <c r="R51" s="8"/>
      <c r="S51" s="8"/>
      <c r="T51" s="8"/>
      <c r="U51" s="8"/>
    </row>
    <row r="52" spans="1:21" s="26" customFormat="1" ht="13.8" x14ac:dyDescent="0.3">
      <c r="L52" s="83">
        <v>6</v>
      </c>
      <c r="M52" s="25">
        <f t="shared" si="18"/>
        <v>1.791759469228055</v>
      </c>
      <c r="N52" s="25">
        <f t="shared" si="19"/>
        <v>3.2104019955684011</v>
      </c>
      <c r="O52" s="8"/>
      <c r="P52" s="8"/>
      <c r="Q52" s="8"/>
      <c r="R52" s="8"/>
      <c r="S52" s="8"/>
      <c r="T52" s="8"/>
      <c r="U52" s="8"/>
    </row>
    <row r="53" spans="1:21" s="26" customFormat="1" ht="13.2" x14ac:dyDescent="0.25">
      <c r="L53" s="83"/>
    </row>
    <row r="54" spans="1:21" s="26" customFormat="1" ht="13.2" x14ac:dyDescent="0.25"/>
    <row r="55" spans="1:21" s="26" customFormat="1" ht="13.2" x14ac:dyDescent="0.25"/>
    <row r="56" spans="1:21" s="26" customFormat="1" ht="13.2" x14ac:dyDescent="0.25"/>
    <row r="57" spans="1:21" s="26" customFormat="1" ht="13.2" x14ac:dyDescent="0.25"/>
    <row r="58" spans="1:21" s="26" customFormat="1" ht="13.2" x14ac:dyDescent="0.25"/>
    <row r="59" spans="1:21" s="26" customFormat="1" ht="13.8" x14ac:dyDescent="0.3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</row>
    <row r="60" spans="1:21" s="26" customFormat="1" ht="13.8" x14ac:dyDescent="0.3">
      <c r="A60" s="8"/>
      <c r="B60" s="8"/>
      <c r="C60" s="8"/>
      <c r="D60" s="8"/>
      <c r="E60" s="8"/>
      <c r="F60" s="8"/>
      <c r="G60" s="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 s="26" customFormat="1" ht="13.8" x14ac:dyDescent="0.3">
      <c r="A61" s="8"/>
      <c r="B61" s="8"/>
      <c r="C61" s="8"/>
      <c r="D61" s="8"/>
      <c r="E61" s="8"/>
      <c r="F61" s="8"/>
      <c r="G61" s="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 s="26" customFormat="1" ht="13.8" x14ac:dyDescent="0.3">
      <c r="A62" s="8"/>
      <c r="B62" s="8"/>
      <c r="C62" s="8"/>
      <c r="D62" s="8"/>
      <c r="E62" s="8"/>
      <c r="F62" s="8"/>
      <c r="G62" s="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 x14ac:dyDescent="0.3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 x14ac:dyDescent="0.3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 x14ac:dyDescent="0.3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 x14ac:dyDescent="0.3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 x14ac:dyDescent="0.3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 x14ac:dyDescent="0.3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 x14ac:dyDescent="0.3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 x14ac:dyDescent="0.3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 x14ac:dyDescent="0.3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 x14ac:dyDescent="0.3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 x14ac:dyDescent="0.3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 x14ac:dyDescent="0.3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 x14ac:dyDescent="0.3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</row>
    <row r="76" spans="1:21" x14ac:dyDescent="0.3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</row>
    <row r="77" spans="1:21" x14ac:dyDescent="0.3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26"/>
      <c r="M77" s="26"/>
      <c r="N77" s="26"/>
      <c r="O77" s="26"/>
      <c r="P77" s="26"/>
      <c r="Q77" s="26"/>
      <c r="R77" s="26"/>
      <c r="S77" s="26"/>
      <c r="T77" s="26"/>
      <c r="U77" s="26"/>
    </row>
    <row r="78" spans="1:21" x14ac:dyDescent="0.3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 x14ac:dyDescent="0.3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 x14ac:dyDescent="0.3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 x14ac:dyDescent="0.3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 x14ac:dyDescent="0.3">
      <c r="A82" s="3"/>
      <c r="B82" s="3"/>
      <c r="C82" s="3"/>
      <c r="D82" s="3"/>
      <c r="E82" s="3"/>
      <c r="F82" s="3"/>
      <c r="G82" s="3"/>
      <c r="H82" s="3"/>
      <c r="I82" s="3"/>
      <c r="J82" s="3"/>
      <c r="K82" s="1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 x14ac:dyDescent="0.3">
      <c r="A83" s="3"/>
      <c r="B83" s="3"/>
      <c r="C83" s="3"/>
      <c r="D83" s="3"/>
      <c r="E83" s="3"/>
      <c r="F83" s="3"/>
      <c r="G83" s="3"/>
      <c r="H83" s="3"/>
      <c r="I83" s="3"/>
      <c r="J83" s="3"/>
      <c r="K83" s="1"/>
      <c r="L83" s="2"/>
      <c r="M83" s="3"/>
      <c r="N83" s="3"/>
      <c r="O83" s="3"/>
      <c r="P83" s="3"/>
      <c r="Q83" s="3"/>
      <c r="R83" s="3"/>
      <c r="S83" s="1"/>
      <c r="T83" s="1"/>
      <c r="U83" s="1"/>
    </row>
    <row r="84" spans="1:21" x14ac:dyDescent="0.3">
      <c r="L84" s="2"/>
      <c r="M84" s="3"/>
      <c r="N84" s="3"/>
      <c r="O84" s="3"/>
      <c r="P84" s="3"/>
      <c r="Q84" s="3"/>
      <c r="R84" s="3"/>
      <c r="S84" s="1"/>
      <c r="T84" s="1"/>
      <c r="U84" s="1"/>
    </row>
  </sheetData>
  <mergeCells count="1">
    <mergeCell ref="A1:H1"/>
  </mergeCells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9"/>
  <sheetViews>
    <sheetView workbookViewId="0">
      <selection activeCell="A2" sqref="A2:F17"/>
    </sheetView>
  </sheetViews>
  <sheetFormatPr defaultColWidth="9.109375" defaultRowHeight="15.6" x14ac:dyDescent="0.3"/>
  <cols>
    <col min="1" max="1" width="3.21875" style="33" bestFit="1" customWidth="1"/>
    <col min="2" max="2" width="68.5546875" style="36" bestFit="1" customWidth="1"/>
    <col min="3" max="3" width="10.6640625" style="36" bestFit="1" customWidth="1"/>
    <col min="4" max="6" width="11.44140625" style="36" customWidth="1"/>
    <col min="7" max="16384" width="9.109375" style="36"/>
  </cols>
  <sheetData>
    <row r="1" spans="1:6" x14ac:dyDescent="0.3">
      <c r="B1" s="34"/>
      <c r="C1" s="35"/>
      <c r="D1" s="35"/>
      <c r="E1" s="35"/>
      <c r="F1" s="35"/>
    </row>
    <row r="2" spans="1:6" ht="30" customHeight="1" x14ac:dyDescent="0.3">
      <c r="A2" s="97" t="s">
        <v>44</v>
      </c>
      <c r="B2" s="97"/>
      <c r="C2" s="37" t="s">
        <v>45</v>
      </c>
      <c r="D2" s="37" t="s">
        <v>46</v>
      </c>
      <c r="E2" s="37" t="s">
        <v>47</v>
      </c>
      <c r="F2" s="37" t="s">
        <v>48</v>
      </c>
    </row>
    <row r="3" spans="1:6" x14ac:dyDescent="0.3">
      <c r="A3" s="38"/>
      <c r="B3" s="39"/>
      <c r="C3" s="39"/>
      <c r="D3" s="39"/>
      <c r="E3" s="39"/>
      <c r="F3" s="39"/>
    </row>
    <row r="4" spans="1:6" x14ac:dyDescent="0.3">
      <c r="A4" s="108" t="s">
        <v>96</v>
      </c>
      <c r="B4" s="109" t="s">
        <v>60</v>
      </c>
      <c r="C4" s="105">
        <v>6</v>
      </c>
      <c r="D4" s="106">
        <v>8340.4948639300001</v>
      </c>
      <c r="E4" s="107">
        <v>8352.5</v>
      </c>
      <c r="F4" s="107">
        <v>8368.2000000000007</v>
      </c>
    </row>
    <row r="5" spans="1:6" x14ac:dyDescent="0.3">
      <c r="A5" s="108" t="s">
        <v>49</v>
      </c>
      <c r="B5" s="109" t="s">
        <v>50</v>
      </c>
      <c r="C5" s="105">
        <v>7</v>
      </c>
      <c r="D5" s="106">
        <v>8327.2999999999993</v>
      </c>
      <c r="E5" s="107">
        <v>8341.2999999999993</v>
      </c>
      <c r="F5" s="107">
        <v>8359.6</v>
      </c>
    </row>
    <row r="6" spans="1:6" x14ac:dyDescent="0.3">
      <c r="A6" s="108" t="s">
        <v>51</v>
      </c>
      <c r="B6" s="109" t="s">
        <v>52</v>
      </c>
      <c r="C6" s="105">
        <v>10</v>
      </c>
      <c r="D6" s="106">
        <v>8321.7665979600006</v>
      </c>
      <c r="E6" s="107">
        <v>8341.7999999999993</v>
      </c>
      <c r="F6" s="107">
        <v>8367.9</v>
      </c>
    </row>
    <row r="7" spans="1:6" x14ac:dyDescent="0.3">
      <c r="A7" s="108" t="s">
        <v>53</v>
      </c>
      <c r="B7" s="110" t="s">
        <v>54</v>
      </c>
      <c r="C7" s="105">
        <v>10</v>
      </c>
      <c r="D7" s="106">
        <v>8298.9466055800003</v>
      </c>
      <c r="E7" s="107">
        <v>8318.9</v>
      </c>
      <c r="F7" s="107">
        <v>8345.1</v>
      </c>
    </row>
    <row r="8" spans="1:6" x14ac:dyDescent="0.3">
      <c r="A8" s="103" t="s">
        <v>95</v>
      </c>
      <c r="B8" s="104" t="s">
        <v>58</v>
      </c>
      <c r="C8" s="105">
        <v>10</v>
      </c>
      <c r="D8" s="106">
        <v>8291.5097523599998</v>
      </c>
      <c r="E8" s="111">
        <v>8311.5</v>
      </c>
      <c r="F8" s="111">
        <v>8337.7000000000007</v>
      </c>
    </row>
    <row r="9" spans="1:6" x14ac:dyDescent="0.3">
      <c r="A9" s="108">
        <v>0</v>
      </c>
      <c r="B9" s="109" t="s">
        <v>55</v>
      </c>
      <c r="C9" s="105">
        <v>27</v>
      </c>
      <c r="D9" s="112">
        <v>8278.0888224099999</v>
      </c>
      <c r="E9" s="107">
        <v>8332.1</v>
      </c>
      <c r="F9" s="107">
        <v>8402.7000000000007</v>
      </c>
    </row>
    <row r="10" spans="1:6" ht="10.199999999999999" customHeight="1" x14ac:dyDescent="0.3">
      <c r="A10" s="108"/>
      <c r="B10" s="109"/>
      <c r="C10" s="105"/>
      <c r="D10" s="112"/>
      <c r="E10" s="107"/>
      <c r="F10" s="107"/>
    </row>
    <row r="11" spans="1:6" x14ac:dyDescent="0.3">
      <c r="A11" s="108">
        <v>0</v>
      </c>
      <c r="B11" s="113" t="s">
        <v>74</v>
      </c>
      <c r="C11" s="114" t="s">
        <v>56</v>
      </c>
      <c r="D11" s="115" t="s">
        <v>94</v>
      </c>
      <c r="E11" s="116" t="s">
        <v>57</v>
      </c>
      <c r="F11" s="107"/>
    </row>
    <row r="12" spans="1:6" x14ac:dyDescent="0.3">
      <c r="A12" s="108" t="s">
        <v>96</v>
      </c>
      <c r="B12" s="119" t="s">
        <v>60</v>
      </c>
      <c r="C12" s="105">
        <f>C$9-C4</f>
        <v>21</v>
      </c>
      <c r="D12" s="106">
        <f>D4-D$9</f>
        <v>62.406041520000144</v>
      </c>
      <c r="E12" s="118">
        <f>CHIDIST(D12,C12)</f>
        <v>5.484901060651557E-6</v>
      </c>
      <c r="F12" s="107"/>
    </row>
    <row r="13" spans="1:6" x14ac:dyDescent="0.3">
      <c r="A13" s="108" t="s">
        <v>49</v>
      </c>
      <c r="B13" s="119" t="s">
        <v>50</v>
      </c>
      <c r="C13" s="105">
        <f>C$9-C5</f>
        <v>20</v>
      </c>
      <c r="D13" s="106">
        <f>D5-D$9</f>
        <v>49.211177589999352</v>
      </c>
      <c r="E13" s="118">
        <f t="shared" ref="E13:E15" si="0">CHIDIST(D13,C13)</f>
        <v>2.8695168510429558E-4</v>
      </c>
      <c r="F13" s="107"/>
    </row>
    <row r="14" spans="1:6" x14ac:dyDescent="0.3">
      <c r="A14" s="108" t="s">
        <v>51</v>
      </c>
      <c r="B14" s="119" t="s">
        <v>52</v>
      </c>
      <c r="C14" s="105">
        <f>C$9-C6</f>
        <v>17</v>
      </c>
      <c r="D14" s="106">
        <f>D6-D$9</f>
        <v>43.677775550000661</v>
      </c>
      <c r="E14" s="118">
        <f t="shared" si="0"/>
        <v>3.8202770652496647E-4</v>
      </c>
      <c r="F14" s="107"/>
    </row>
    <row r="15" spans="1:6" x14ac:dyDescent="0.3">
      <c r="A15" s="103" t="s">
        <v>53</v>
      </c>
      <c r="B15" s="117" t="s">
        <v>54</v>
      </c>
      <c r="C15" s="121">
        <f>C$9-C7</f>
        <v>17</v>
      </c>
      <c r="D15" s="112">
        <f>D7-D$9</f>
        <v>20.857783170000403</v>
      </c>
      <c r="E15" s="120">
        <f t="shared" si="0"/>
        <v>0.23271640861184953</v>
      </c>
      <c r="F15" s="107"/>
    </row>
    <row r="16" spans="1:6" x14ac:dyDescent="0.3">
      <c r="A16" s="103" t="s">
        <v>95</v>
      </c>
      <c r="B16" s="117" t="s">
        <v>58</v>
      </c>
      <c r="C16" s="121">
        <f>C$9-C8</f>
        <v>17</v>
      </c>
      <c r="D16" s="112">
        <f>D8-D$9</f>
        <v>13.420929949999845</v>
      </c>
      <c r="E16" s="120">
        <f>CHIDIST(D16,C16)</f>
        <v>0.70758330579532713</v>
      </c>
      <c r="F16" s="107"/>
    </row>
    <row r="17" spans="1:6" ht="8.4" customHeight="1" x14ac:dyDescent="0.3">
      <c r="A17" s="45"/>
      <c r="B17" s="46"/>
      <c r="C17" s="47"/>
      <c r="D17" s="43"/>
      <c r="E17" s="43"/>
      <c r="F17" s="43"/>
    </row>
    <row r="18" spans="1:6" x14ac:dyDescent="0.3">
      <c r="C18" s="40"/>
      <c r="D18" s="41"/>
      <c r="E18" s="41"/>
      <c r="F18" s="41"/>
    </row>
    <row r="19" spans="1:6" x14ac:dyDescent="0.3">
      <c r="B19" s="44"/>
      <c r="C19" s="40"/>
      <c r="D19" s="41"/>
      <c r="E19" s="41"/>
      <c r="F19" s="41"/>
    </row>
  </sheetData>
  <mergeCells count="1">
    <mergeCell ref="A2:B2"/>
  </mergeCells>
  <pageMargins left="0.7" right="0.7" top="0.75" bottom="0.75" header="0.3" footer="0.3"/>
  <pageSetup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3"/>
  <sheetViews>
    <sheetView workbookViewId="0">
      <selection activeCell="A2" sqref="A2:J10"/>
    </sheetView>
  </sheetViews>
  <sheetFormatPr defaultColWidth="9.109375" defaultRowHeight="15.6" x14ac:dyDescent="0.3"/>
  <cols>
    <col min="1" max="1" width="3.21875" style="33" bestFit="1" customWidth="1"/>
    <col min="2" max="2" width="44.109375" style="60" customWidth="1"/>
    <col min="3" max="3" width="1.5546875" style="36" customWidth="1"/>
    <col min="4" max="4" width="7.44140625" style="64" customWidth="1"/>
    <col min="5" max="5" width="7.44140625" style="74" customWidth="1"/>
    <col min="6" max="6" width="7.44140625" style="70" customWidth="1"/>
    <col min="7" max="7" width="1.5546875" style="36" customWidth="1"/>
    <col min="8" max="8" width="7.44140625" style="64" customWidth="1"/>
    <col min="9" max="9" width="7.44140625" style="74" customWidth="1"/>
    <col min="10" max="10" width="7.44140625" style="70" customWidth="1"/>
    <col min="11" max="16384" width="9.109375" style="36"/>
  </cols>
  <sheetData>
    <row r="1" spans="1:11" x14ac:dyDescent="0.3">
      <c r="A1" s="48"/>
      <c r="B1" s="56"/>
      <c r="C1" s="34"/>
      <c r="D1" s="65"/>
      <c r="E1" s="72"/>
      <c r="F1" s="71"/>
      <c r="G1" s="34"/>
      <c r="H1" s="65"/>
      <c r="I1" s="72"/>
      <c r="J1" s="66"/>
    </row>
    <row r="2" spans="1:11" ht="15.75" customHeight="1" x14ac:dyDescent="0.3">
      <c r="A2" s="99" t="s">
        <v>97</v>
      </c>
      <c r="B2" s="99"/>
      <c r="C2" s="78"/>
      <c r="D2" s="98" t="s">
        <v>61</v>
      </c>
      <c r="E2" s="98"/>
      <c r="F2" s="98"/>
      <c r="G2" s="78"/>
      <c r="H2" s="98" t="s">
        <v>63</v>
      </c>
      <c r="I2" s="98"/>
      <c r="J2" s="98"/>
    </row>
    <row r="3" spans="1:11" ht="31.2" x14ac:dyDescent="0.3">
      <c r="A3" s="100"/>
      <c r="B3" s="100"/>
      <c r="C3" s="50"/>
      <c r="D3" s="75" t="s">
        <v>64</v>
      </c>
      <c r="E3" s="76" t="s">
        <v>62</v>
      </c>
      <c r="F3" s="77" t="s">
        <v>65</v>
      </c>
      <c r="G3" s="50"/>
      <c r="H3" s="75" t="s">
        <v>64</v>
      </c>
      <c r="I3" s="76" t="s">
        <v>62</v>
      </c>
      <c r="J3" s="77" t="s">
        <v>65</v>
      </c>
      <c r="K3" s="49"/>
    </row>
    <row r="4" spans="1:11" x14ac:dyDescent="0.3">
      <c r="A4" s="51"/>
      <c r="B4" s="57"/>
      <c r="C4" s="39"/>
      <c r="D4" s="62"/>
      <c r="E4" s="73"/>
      <c r="F4" s="67"/>
      <c r="G4" s="39"/>
      <c r="H4" s="62"/>
      <c r="I4" s="73"/>
      <c r="J4" s="67"/>
      <c r="K4" s="49"/>
    </row>
    <row r="5" spans="1:11" x14ac:dyDescent="0.3">
      <c r="A5" s="51" t="s">
        <v>51</v>
      </c>
      <c r="B5" s="58" t="s">
        <v>52</v>
      </c>
      <c r="C5" s="52"/>
      <c r="D5" s="63">
        <v>9.07</v>
      </c>
      <c r="E5" s="55">
        <v>3</v>
      </c>
      <c r="F5" s="68">
        <v>2.9899999999999999E-2</v>
      </c>
      <c r="G5" s="52"/>
      <c r="H5" s="63">
        <v>35.758000000000003</v>
      </c>
      <c r="I5" s="55">
        <v>14</v>
      </c>
      <c r="J5" s="68">
        <v>1.134108E-3</v>
      </c>
      <c r="K5" s="49"/>
    </row>
    <row r="6" spans="1:11" x14ac:dyDescent="0.3">
      <c r="A6" s="134" t="s">
        <v>53</v>
      </c>
      <c r="B6" s="135" t="s">
        <v>54</v>
      </c>
      <c r="C6" s="52"/>
      <c r="D6" s="63">
        <v>4.74</v>
      </c>
      <c r="E6" s="55">
        <v>3</v>
      </c>
      <c r="F6" s="69">
        <v>0.1946</v>
      </c>
      <c r="G6" s="52"/>
      <c r="H6" s="63">
        <v>15.7728</v>
      </c>
      <c r="I6" s="55">
        <v>14</v>
      </c>
      <c r="J6" s="69">
        <v>0.32744000000000001</v>
      </c>
      <c r="K6" s="49"/>
    </row>
    <row r="7" spans="1:11" ht="31.2" x14ac:dyDescent="0.3">
      <c r="A7" s="51" t="s">
        <v>49</v>
      </c>
      <c r="B7" s="61" t="s">
        <v>50</v>
      </c>
      <c r="C7" s="52"/>
      <c r="D7" s="63">
        <f>0.29*3</f>
        <v>0.86999999999999988</v>
      </c>
      <c r="E7" s="55">
        <v>3</v>
      </c>
      <c r="F7" s="69">
        <v>0.40439999999999998</v>
      </c>
      <c r="G7" s="52"/>
      <c r="H7" s="63">
        <v>46.5</v>
      </c>
      <c r="I7" s="55">
        <v>17</v>
      </c>
      <c r="J7" s="68">
        <v>0</v>
      </c>
      <c r="K7" s="49"/>
    </row>
    <row r="8" spans="1:11" s="130" customFormat="1" x14ac:dyDescent="0.3">
      <c r="A8" s="122" t="s">
        <v>96</v>
      </c>
      <c r="B8" s="123" t="s">
        <v>60</v>
      </c>
      <c r="C8" s="124"/>
      <c r="D8" s="125">
        <v>6.69</v>
      </c>
      <c r="E8" s="126">
        <v>4</v>
      </c>
      <c r="F8" s="127">
        <v>0.15540000000000001</v>
      </c>
      <c r="G8" s="128"/>
      <c r="H8" s="131">
        <v>58.009700000000002</v>
      </c>
      <c r="I8" s="132">
        <v>17</v>
      </c>
      <c r="J8" s="133">
        <v>2.2299999999999998E-6</v>
      </c>
      <c r="K8" s="129"/>
    </row>
    <row r="9" spans="1:11" s="130" customFormat="1" x14ac:dyDescent="0.3">
      <c r="A9" s="122" t="s">
        <v>95</v>
      </c>
      <c r="B9" s="123" t="s">
        <v>58</v>
      </c>
      <c r="C9" s="124"/>
      <c r="D9" s="125">
        <v>1.31</v>
      </c>
      <c r="E9" s="126">
        <v>3</v>
      </c>
      <c r="F9" s="127">
        <v>0.72589999999999999</v>
      </c>
      <c r="G9" s="128"/>
      <c r="H9" s="125">
        <v>11.9846</v>
      </c>
      <c r="I9" s="126">
        <v>14</v>
      </c>
      <c r="J9" s="127">
        <v>0.60753999999999997</v>
      </c>
      <c r="K9" s="129"/>
    </row>
    <row r="10" spans="1:11" ht="9" customHeight="1" x14ac:dyDescent="0.3">
      <c r="A10" s="45"/>
      <c r="B10" s="79"/>
      <c r="C10" s="42"/>
      <c r="D10" s="80"/>
      <c r="E10" s="47"/>
      <c r="F10" s="81"/>
      <c r="G10" s="42"/>
      <c r="H10" s="80"/>
      <c r="I10" s="47"/>
      <c r="J10" s="81"/>
      <c r="K10" s="49"/>
    </row>
    <row r="11" spans="1:11" x14ac:dyDescent="0.3">
      <c r="A11" s="51"/>
      <c r="B11" s="58"/>
      <c r="C11" s="53"/>
      <c r="D11" s="63"/>
      <c r="E11" s="55"/>
      <c r="F11" s="68"/>
      <c r="G11" s="53"/>
      <c r="H11" s="63"/>
      <c r="I11" s="55"/>
      <c r="J11" s="66"/>
    </row>
    <row r="12" spans="1:11" x14ac:dyDescent="0.3">
      <c r="A12" s="48"/>
      <c r="B12" s="59"/>
      <c r="C12" s="53"/>
      <c r="D12" s="63"/>
      <c r="E12" s="55"/>
      <c r="F12" s="68"/>
      <c r="G12" s="53"/>
      <c r="H12" s="63"/>
      <c r="I12" s="55"/>
      <c r="J12" s="66"/>
    </row>
    <row r="13" spans="1:11" x14ac:dyDescent="0.3">
      <c r="A13" s="48"/>
      <c r="B13" s="54"/>
      <c r="C13" s="53"/>
      <c r="D13" s="63"/>
      <c r="E13" s="55"/>
      <c r="F13" s="68"/>
      <c r="G13" s="53"/>
      <c r="H13" s="63"/>
      <c r="I13" s="55"/>
      <c r="J13" s="66"/>
    </row>
  </sheetData>
  <mergeCells count="3">
    <mergeCell ref="D2:F2"/>
    <mergeCell ref="H2:J2"/>
    <mergeCell ref="A2:B3"/>
  </mergeCell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5"/>
  <sheetViews>
    <sheetView workbookViewId="0">
      <selection activeCell="C36" sqref="C36"/>
    </sheetView>
  </sheetViews>
  <sheetFormatPr defaultRowHeight="14.4" x14ac:dyDescent="0.3"/>
  <cols>
    <col min="1" max="1" width="9.5546875" style="85" bestFit="1" customWidth="1"/>
    <col min="2" max="2" width="9.5546875" style="86" bestFit="1" customWidth="1"/>
    <col min="3" max="3" width="14.88671875" style="86" bestFit="1" customWidth="1"/>
    <col min="4" max="4" width="18.109375" style="86" bestFit="1" customWidth="1"/>
  </cols>
  <sheetData>
    <row r="1" spans="1:4" x14ac:dyDescent="0.3">
      <c r="A1" s="85" t="s">
        <v>71</v>
      </c>
    </row>
    <row r="2" spans="1:4" x14ac:dyDescent="0.3">
      <c r="A2" s="85" t="s">
        <v>9</v>
      </c>
      <c r="B2" s="86" t="s">
        <v>70</v>
      </c>
      <c r="C2" s="86" t="s">
        <v>68</v>
      </c>
      <c r="D2" s="86" t="s">
        <v>69</v>
      </c>
    </row>
    <row r="3" spans="1:4" x14ac:dyDescent="0.3">
      <c r="A3" s="85">
        <v>1</v>
      </c>
      <c r="B3" s="87">
        <v>1961.89</v>
      </c>
      <c r="C3" s="87">
        <v>1942.55</v>
      </c>
      <c r="D3" s="87">
        <v>1960.96</v>
      </c>
    </row>
    <row r="4" spans="1:4" x14ac:dyDescent="0.3">
      <c r="A4" s="85">
        <v>2</v>
      </c>
      <c r="B4" s="87">
        <v>1815.17</v>
      </c>
      <c r="C4" s="87">
        <v>1833.93</v>
      </c>
      <c r="D4" s="87">
        <v>1816.74</v>
      </c>
    </row>
    <row r="5" spans="1:4" x14ac:dyDescent="0.3">
      <c r="A5" s="85">
        <v>3</v>
      </c>
      <c r="B5" s="87">
        <v>1750.03</v>
      </c>
      <c r="C5" s="87">
        <v>1770.38</v>
      </c>
      <c r="D5" s="87">
        <v>1753.25</v>
      </c>
    </row>
    <row r="6" spans="1:4" x14ac:dyDescent="0.3">
      <c r="A6" s="85">
        <v>4</v>
      </c>
      <c r="B6" s="87">
        <v>1717.8</v>
      </c>
      <c r="C6" s="87">
        <v>1725.29</v>
      </c>
      <c r="D6" s="87">
        <v>1717.57</v>
      </c>
    </row>
    <row r="7" spans="1:4" x14ac:dyDescent="0.3">
      <c r="A7" s="85">
        <v>5</v>
      </c>
      <c r="B7" s="87">
        <v>1707.18</v>
      </c>
      <c r="C7" s="87">
        <v>1690.33</v>
      </c>
      <c r="D7" s="87">
        <v>1695.25</v>
      </c>
    </row>
    <row r="8" spans="1:4" x14ac:dyDescent="0.3">
      <c r="A8" s="85">
        <v>6</v>
      </c>
      <c r="B8" s="87">
        <v>1672.14</v>
      </c>
      <c r="C8" s="87">
        <v>1661.74</v>
      </c>
      <c r="D8" s="87">
        <v>1680.45</v>
      </c>
    </row>
    <row r="18" spans="1:4" x14ac:dyDescent="0.3">
      <c r="A18" s="85" t="s">
        <v>72</v>
      </c>
    </row>
    <row r="19" spans="1:4" ht="28.8" x14ac:dyDescent="0.3">
      <c r="A19" s="85" t="s">
        <v>9</v>
      </c>
      <c r="B19" s="86" t="s">
        <v>73</v>
      </c>
      <c r="C19" s="88" t="s">
        <v>60</v>
      </c>
      <c r="D19" s="88" t="s">
        <v>58</v>
      </c>
    </row>
    <row r="20" spans="1:4" x14ac:dyDescent="0.3">
      <c r="A20" s="85">
        <v>1</v>
      </c>
      <c r="B20" s="87">
        <v>301985</v>
      </c>
      <c r="C20" s="87">
        <v>298372</v>
      </c>
      <c r="D20" s="87">
        <v>302304</v>
      </c>
    </row>
    <row r="21" spans="1:4" x14ac:dyDescent="0.3">
      <c r="A21" s="85">
        <v>2</v>
      </c>
      <c r="B21" s="87">
        <v>259150</v>
      </c>
      <c r="C21" s="87">
        <v>247724</v>
      </c>
      <c r="D21" s="87">
        <v>253981</v>
      </c>
    </row>
    <row r="22" spans="1:4" x14ac:dyDescent="0.3">
      <c r="A22" s="85">
        <v>3</v>
      </c>
      <c r="B22" s="87">
        <v>233368</v>
      </c>
      <c r="C22" s="87">
        <v>228387</v>
      </c>
      <c r="D22" s="87">
        <v>236995</v>
      </c>
    </row>
    <row r="23" spans="1:4" x14ac:dyDescent="0.3">
      <c r="A23" s="85">
        <v>4</v>
      </c>
      <c r="B23" s="87">
        <v>217544</v>
      </c>
      <c r="C23" s="87">
        <v>219274</v>
      </c>
      <c r="D23" s="87">
        <v>219785</v>
      </c>
    </row>
    <row r="24" spans="1:4" x14ac:dyDescent="0.3">
      <c r="A24" s="85">
        <v>5</v>
      </c>
      <c r="B24" s="87">
        <v>212098</v>
      </c>
      <c r="C24" s="87">
        <v>214838</v>
      </c>
      <c r="D24" s="87">
        <v>206863</v>
      </c>
    </row>
    <row r="25" spans="1:4" x14ac:dyDescent="0.3">
      <c r="A25" s="85">
        <v>6</v>
      </c>
      <c r="B25" s="87">
        <v>196733</v>
      </c>
      <c r="C25" s="87">
        <v>212922</v>
      </c>
      <c r="D25" s="87">
        <v>200661</v>
      </c>
    </row>
    <row r="29" spans="1:4" x14ac:dyDescent="0.3">
      <c r="A29" s="85" t="s">
        <v>90</v>
      </c>
      <c r="B29" s="86" t="s">
        <v>91</v>
      </c>
      <c r="C29" s="86" t="s">
        <v>93</v>
      </c>
      <c r="D29" s="86" t="s">
        <v>92</v>
      </c>
    </row>
    <row r="30" spans="1:4" x14ac:dyDescent="0.3">
      <c r="A30" s="85">
        <v>1</v>
      </c>
      <c r="B30" s="95">
        <f>LN(A30)</f>
        <v>0</v>
      </c>
      <c r="C30" s="95">
        <f t="shared" ref="C30:C35" si="0">B30^2</f>
        <v>0</v>
      </c>
      <c r="D30" s="95">
        <f>B30*2</f>
        <v>0</v>
      </c>
    </row>
    <row r="31" spans="1:4" x14ac:dyDescent="0.3">
      <c r="A31" s="85">
        <v>2</v>
      </c>
      <c r="B31" s="95">
        <f t="shared" ref="B31:B35" si="1">LN(A31)</f>
        <v>0.69314718055994529</v>
      </c>
      <c r="C31" s="95">
        <f t="shared" si="0"/>
        <v>0.48045301391820139</v>
      </c>
      <c r="D31" s="95">
        <f t="shared" ref="D31:D35" si="2">B31*2</f>
        <v>1.3862943611198906</v>
      </c>
    </row>
    <row r="32" spans="1:4" x14ac:dyDescent="0.3">
      <c r="A32" s="85">
        <v>3</v>
      </c>
      <c r="B32" s="95">
        <f t="shared" si="1"/>
        <v>1.0986122886681098</v>
      </c>
      <c r="C32" s="95">
        <f t="shared" si="0"/>
        <v>1.2069489608125821</v>
      </c>
      <c r="D32" s="95">
        <f t="shared" si="2"/>
        <v>2.1972245773362196</v>
      </c>
    </row>
    <row r="33" spans="1:4" x14ac:dyDescent="0.3">
      <c r="A33" s="85">
        <v>4</v>
      </c>
      <c r="B33" s="95">
        <f t="shared" si="1"/>
        <v>1.3862943611198906</v>
      </c>
      <c r="C33" s="95">
        <f t="shared" si="0"/>
        <v>1.9218120556728056</v>
      </c>
      <c r="D33" s="95">
        <f t="shared" si="2"/>
        <v>2.7725887222397811</v>
      </c>
    </row>
    <row r="34" spans="1:4" x14ac:dyDescent="0.3">
      <c r="A34" s="85">
        <v>5</v>
      </c>
      <c r="B34" s="95">
        <f t="shared" si="1"/>
        <v>1.6094379124341003</v>
      </c>
      <c r="C34" s="95">
        <f t="shared" si="0"/>
        <v>2.5902903939802346</v>
      </c>
      <c r="D34" s="95">
        <f t="shared" si="2"/>
        <v>3.2188758248682006</v>
      </c>
    </row>
    <row r="35" spans="1:4" x14ac:dyDescent="0.3">
      <c r="A35" s="85">
        <v>6</v>
      </c>
      <c r="B35" s="95">
        <f t="shared" si="1"/>
        <v>1.791759469228055</v>
      </c>
      <c r="C35" s="95">
        <f t="shared" si="0"/>
        <v>3.2104019955684011</v>
      </c>
      <c r="D35" s="95">
        <f t="shared" si="2"/>
        <v>3.5835189384561099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1"/>
  <sheetViews>
    <sheetView zoomScale="115" zoomScaleNormal="115" workbookViewId="0">
      <selection activeCell="I7" sqref="I7"/>
    </sheetView>
  </sheetViews>
  <sheetFormatPr defaultRowHeight="14.4" x14ac:dyDescent="0.3"/>
  <cols>
    <col min="1" max="1" width="26.6640625" customWidth="1"/>
    <col min="2" max="2" width="10.44140625" customWidth="1"/>
    <col min="3" max="3" width="11.44140625" bestFit="1" customWidth="1"/>
    <col min="4" max="4" width="16.5546875" bestFit="1" customWidth="1"/>
    <col min="5" max="5" width="10" customWidth="1"/>
    <col min="6" max="7" width="9.109375" style="87"/>
  </cols>
  <sheetData>
    <row r="1" spans="1:7" x14ac:dyDescent="0.3">
      <c r="A1" s="101" t="s">
        <v>80</v>
      </c>
      <c r="B1" s="101"/>
      <c r="C1" s="101"/>
      <c r="D1" s="101"/>
      <c r="E1" s="101"/>
      <c r="F1" s="101"/>
      <c r="G1" s="101"/>
    </row>
    <row r="2" spans="1:7" s="93" customFormat="1" x14ac:dyDescent="0.3">
      <c r="A2" s="91" t="s">
        <v>44</v>
      </c>
      <c r="B2" s="91" t="s">
        <v>81</v>
      </c>
      <c r="C2" s="91" t="s">
        <v>82</v>
      </c>
      <c r="D2" s="91" t="s">
        <v>83</v>
      </c>
      <c r="E2" s="91" t="s">
        <v>84</v>
      </c>
      <c r="F2" s="92" t="s">
        <v>85</v>
      </c>
      <c r="G2" s="92" t="s">
        <v>86</v>
      </c>
    </row>
    <row r="4" spans="1:7" x14ac:dyDescent="0.3">
      <c r="A4" s="102" t="s">
        <v>88</v>
      </c>
      <c r="B4" t="s">
        <v>79</v>
      </c>
      <c r="C4">
        <v>1942.55</v>
      </c>
      <c r="D4">
        <v>274252</v>
      </c>
      <c r="E4" s="94">
        <f>1.96*SQRT(D4)</f>
        <v>1026.4338669393171</v>
      </c>
      <c r="F4" s="87">
        <f xml:space="preserve"> C4-E4</f>
        <v>916.11613306068284</v>
      </c>
      <c r="G4" s="87">
        <f>C4+E4</f>
        <v>2968.9838669393171</v>
      </c>
    </row>
    <row r="5" spans="1:7" x14ac:dyDescent="0.3">
      <c r="A5" s="102"/>
      <c r="B5" t="s">
        <v>78</v>
      </c>
      <c r="C5">
        <v>-156.72</v>
      </c>
      <c r="D5">
        <v>23101</v>
      </c>
      <c r="E5" s="94">
        <f>1.96*SQRT(D5)</f>
        <v>297.90065726681439</v>
      </c>
      <c r="F5" s="87">
        <f xml:space="preserve"> C5-E5</f>
        <v>-454.62065726681442</v>
      </c>
      <c r="G5" s="87">
        <f>C5+E5</f>
        <v>141.18065726681439</v>
      </c>
    </row>
    <row r="7" spans="1:7" x14ac:dyDescent="0.3">
      <c r="A7" s="102" t="s">
        <v>89</v>
      </c>
      <c r="B7" t="s">
        <v>79</v>
      </c>
      <c r="C7">
        <v>1960.96</v>
      </c>
      <c r="D7">
        <v>285072</v>
      </c>
      <c r="E7" s="94">
        <f>1.96*SQRT(D7)</f>
        <v>1046.4858313422119</v>
      </c>
      <c r="F7" s="87">
        <f xml:space="preserve"> C7-E7</f>
        <v>914.47416865778814</v>
      </c>
      <c r="G7" s="87">
        <f>C7+E7</f>
        <v>3007.4458313422119</v>
      </c>
    </row>
    <row r="8" spans="1:7" x14ac:dyDescent="0.3">
      <c r="A8" s="102"/>
      <c r="B8" t="s">
        <v>78</v>
      </c>
      <c r="C8">
        <v>-240.61</v>
      </c>
      <c r="D8">
        <v>199200</v>
      </c>
      <c r="E8" s="94">
        <f>1.96*SQRT(D8)</f>
        <v>874.78381329331876</v>
      </c>
      <c r="F8" s="87">
        <f xml:space="preserve"> C8-E8</f>
        <v>-1115.3938132933188</v>
      </c>
      <c r="G8" s="87">
        <f>C8+E8</f>
        <v>634.17381329331874</v>
      </c>
    </row>
    <row r="9" spans="1:7" x14ac:dyDescent="0.3">
      <c r="A9" s="102"/>
      <c r="B9" t="s">
        <v>87</v>
      </c>
      <c r="C9">
        <v>46.9146</v>
      </c>
      <c r="D9">
        <v>43025</v>
      </c>
      <c r="E9" s="94">
        <f>1.96*SQRT(D9)</f>
        <v>406.55238284875418</v>
      </c>
      <c r="F9" s="87">
        <f xml:space="preserve"> C9-E9</f>
        <v>-359.63778284875417</v>
      </c>
      <c r="G9" s="87">
        <f>C9+E9</f>
        <v>453.46698284875418</v>
      </c>
    </row>
    <row r="10" spans="1:7" x14ac:dyDescent="0.3">
      <c r="E10" s="94"/>
    </row>
    <row r="11" spans="1:7" x14ac:dyDescent="0.3">
      <c r="E11" s="86"/>
    </row>
  </sheetData>
  <mergeCells count="3">
    <mergeCell ref="A1:G1"/>
    <mergeCell ref="A4:A5"/>
    <mergeCell ref="A7:A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Log Time</vt:lpstr>
      <vt:lpstr>Predictions</vt:lpstr>
      <vt:lpstr>ML Fit Comparison</vt:lpstr>
      <vt:lpstr>Fit by Side</vt:lpstr>
      <vt:lpstr>Log Time Data Plots</vt:lpstr>
      <vt:lpstr>Random Effect CIs</vt:lpstr>
    </vt:vector>
  </TitlesOfParts>
  <Company>University of Kansas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</dc:creator>
  <cp:lastModifiedBy>Lesa Hoffman</cp:lastModifiedBy>
  <dcterms:created xsi:type="dcterms:W3CDTF">2015-11-16T19:44:59Z</dcterms:created>
  <dcterms:modified xsi:type="dcterms:W3CDTF">2021-03-22T19:29:51Z</dcterms:modified>
</cp:coreProperties>
</file>